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mc:AlternateContent xmlns:mc="http://schemas.openxmlformats.org/markup-compatibility/2006">
    <mc:Choice Requires="x15">
      <x15ac:absPath xmlns:x15ac="http://schemas.microsoft.com/office/spreadsheetml/2010/11/ac" url="/Users/glenn/Library/CloudStorage/GoogleDrive-glenn.r.sharman@gmail.com/.shortcut-targets-by-id/1mOfN01t241ixL-hA5E-ZpysmD-vVkLFW/2022 UA CVX PETM Publication/80-Climate_of_the_Past_R1/"/>
    </mc:Choice>
  </mc:AlternateContent>
  <xr:revisionPtr revIDLastSave="0" documentId="8_{5553E457-DACD-A34E-A79F-C9C05E3D2BFD}" xr6:coauthVersionLast="47" xr6:coauthVersionMax="47" xr10:uidLastSave="{00000000-0000-0000-0000-000000000000}"/>
  <bookViews>
    <workbookView xWindow="700" yWindow="500" windowWidth="33080" windowHeight="19160" xr2:uid="{00000000-000D-0000-FFFF-FFFF00000000}"/>
  </bookViews>
  <sheets>
    <sheet name="Table S1" sheetId="1" r:id="rId1"/>
  </sheets>
  <definedNames>
    <definedName name="_xlnm._FilterDatabase" localSheetId="0" hidden="1">'Table S1'!$A$2:$Q$127</definedName>
    <definedName name="Z_B6B13DC5_3F2E_4CEE_B451_DF3517F484F6_.wvu.FilterData" localSheetId="0" hidden="1">'Table S1'!$A$2:$Q$94</definedName>
  </definedNames>
  <calcPr calcId="191029"/>
  <customWorkbookViews>
    <customWorkbookView name="Filter 1" guid="{B6B13DC5-3F2E-4CEE-B451-DF3517F484F6}"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gnj/KNyp5fi8rlkFZgIuKJc8LFiQ=="/>
    </ext>
  </extLst>
</workbook>
</file>

<file path=xl/calcChain.xml><?xml version="1.0" encoding="utf-8"?>
<calcChain xmlns="http://schemas.openxmlformats.org/spreadsheetml/2006/main">
  <c r="N127" i="1" l="1"/>
  <c r="N126" i="1"/>
  <c r="N125" i="1"/>
  <c r="N123" i="1"/>
  <c r="N121" i="1"/>
  <c r="N120" i="1"/>
  <c r="N119" i="1"/>
  <c r="N118" i="1"/>
  <c r="N117" i="1"/>
  <c r="N116" i="1"/>
  <c r="N113" i="1"/>
  <c r="N112" i="1"/>
  <c r="N110" i="1"/>
  <c r="N109" i="1"/>
  <c r="N108" i="1"/>
  <c r="N107" i="1"/>
  <c r="N106" i="1"/>
  <c r="N105" i="1"/>
  <c r="N104" i="1"/>
  <c r="N103" i="1"/>
  <c r="N102" i="1"/>
  <c r="N101" i="1"/>
  <c r="N100" i="1"/>
  <c r="N99" i="1"/>
  <c r="N98" i="1"/>
  <c r="N97" i="1"/>
  <c r="E97" i="1"/>
  <c r="D97" i="1"/>
  <c r="N96" i="1"/>
  <c r="N95" i="1"/>
  <c r="N94" i="1"/>
  <c r="N93" i="1"/>
  <c r="N91" i="1"/>
  <c r="N86" i="1"/>
  <c r="N83" i="1"/>
  <c r="N79" i="1"/>
  <c r="N78" i="1"/>
  <c r="N76" i="1"/>
  <c r="N74" i="1"/>
  <c r="N73" i="1"/>
  <c r="N72" i="1"/>
  <c r="N71" i="1"/>
  <c r="N67" i="1"/>
  <c r="N66" i="1"/>
  <c r="N65" i="1"/>
  <c r="N63" i="1"/>
  <c r="N62" i="1"/>
  <c r="N60" i="1"/>
  <c r="N59" i="1"/>
  <c r="N57" i="1"/>
  <c r="N56" i="1"/>
  <c r="N52" i="1"/>
  <c r="N50" i="1"/>
  <c r="N49" i="1"/>
  <c r="N48" i="1"/>
  <c r="N47" i="1"/>
  <c r="N46" i="1"/>
  <c r="N45" i="1"/>
  <c r="N44" i="1"/>
  <c r="N43" i="1"/>
  <c r="N42" i="1"/>
  <c r="N41" i="1"/>
  <c r="E40" i="1"/>
  <c r="D40" i="1"/>
  <c r="N39" i="1"/>
  <c r="E39" i="1"/>
  <c r="D39" i="1"/>
  <c r="N38" i="1"/>
  <c r="N37" i="1"/>
  <c r="E37" i="1"/>
  <c r="D37" i="1"/>
  <c r="N36" i="1"/>
  <c r="N34" i="1"/>
  <c r="N33" i="1"/>
  <c r="N29" i="1"/>
  <c r="N27" i="1"/>
  <c r="N26" i="1"/>
  <c r="N25" i="1"/>
  <c r="N24" i="1"/>
  <c r="N23" i="1"/>
  <c r="N22" i="1"/>
  <c r="N21" i="1"/>
  <c r="N20" i="1"/>
  <c r="N18" i="1"/>
  <c r="N17" i="1"/>
  <c r="N16" i="1"/>
  <c r="N15" i="1"/>
  <c r="N14" i="1"/>
  <c r="N10" i="1"/>
  <c r="E10" i="1"/>
  <c r="D10" i="1"/>
  <c r="N8" i="1"/>
  <c r="N7" i="1"/>
  <c r="N5" i="1"/>
  <c r="N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tc={C21ABD78-96FA-1341-B01B-D64C707124AB}</author>
  </authors>
  <commentList>
    <comment ref="E22" authorId="0" shapeId="0" xr:uid="{C21ABD78-96FA-1341-B01B-D64C707124AB}">
      <text>
        <t>[Threaded comment]
Your version of Excel allows you to read this threaded comment; however, any edits to it will get removed if the file is opened in a newer version of Excel. Learn more: https://go.microsoft.com/fwlink/?linkid=870924
Comment:
    Changed from positive to negative</t>
      </text>
    </comment>
  </commentList>
</comments>
</file>

<file path=xl/sharedStrings.xml><?xml version="1.0" encoding="utf-8"?>
<sst xmlns="http://schemas.openxmlformats.org/spreadsheetml/2006/main" count="1238" uniqueCount="696">
  <si>
    <t>Table S1. Compilation of PETM localities</t>
  </si>
  <si>
    <t>Site_ID</t>
  </si>
  <si>
    <t>Site Name</t>
  </si>
  <si>
    <t>Location</t>
  </si>
  <si>
    <t>Latitude</t>
  </si>
  <si>
    <t>Longitude</t>
  </si>
  <si>
    <t>Latitude_Scotese</t>
  </si>
  <si>
    <t>Longitude_Scotese</t>
  </si>
  <si>
    <t>Depo_class_pre_PETM</t>
  </si>
  <si>
    <t>Sed_type</t>
  </si>
  <si>
    <t>PETM_lith</t>
  </si>
  <si>
    <t>PETM_change</t>
  </si>
  <si>
    <t>PETM_change_class</t>
  </si>
  <si>
    <t>CIE_m</t>
  </si>
  <si>
    <t>Source(s)</t>
  </si>
  <si>
    <t>Notes</t>
  </si>
  <si>
    <t>IDOP Site M004</t>
  </si>
  <si>
    <t>Lomonsov Ridge, Arctic</t>
  </si>
  <si>
    <t>Shelf (close to shore, brackish)</t>
  </si>
  <si>
    <t>04_Shelfal (inner to middle neritic)</t>
  </si>
  <si>
    <t>Terrigenous</t>
  </si>
  <si>
    <t>Terrigenous mudstone</t>
  </si>
  <si>
    <t>No change in grain size (?)</t>
  </si>
  <si>
    <t>06_No_change</t>
  </si>
  <si>
    <t>Denis et al. (2017) Fig. 2</t>
  </si>
  <si>
    <t>Note there is uncertainty in the thickness of the CIE due to incomplete coring. Depositional setting described as "close to shore" and "brackish".</t>
  </si>
  <si>
    <t>Longyearbyen</t>
  </si>
  <si>
    <t>Spitsbergen</t>
  </si>
  <si>
    <t>Nearshore shelf</t>
  </si>
  <si>
    <t>Terrigenous mudstone (clay and silt)</t>
  </si>
  <si>
    <t>Decrease in grain size</t>
  </si>
  <si>
    <t>02_Decrease_terrigenous_grain_size</t>
  </si>
  <si>
    <t xml:space="preserve">Harding et al. (2011) Fig. 3 </t>
  </si>
  <si>
    <t>Onset identified, but not recovery. Underlying formation is coaser grained with evidence for terrestrial deposition.</t>
  </si>
  <si>
    <t>Core BH 9/05</t>
  </si>
  <si>
    <t>Outer shelf</t>
  </si>
  <si>
    <t>05_Shelfal (outer) to slope</t>
  </si>
  <si>
    <t>Terrigneous mudstone (clay and silt)</t>
  </si>
  <si>
    <t>Wieczorek et al. (2013) Fig. 2</t>
  </si>
  <si>
    <t>Note that the CIE thickness from Fig. 2 is slightly different from the thickness (49m) stated in the text. Fig. 5 of Dypvik et al. (2011) shows a log of the core. Pre-PETM litholgoies (up to very fine ss, with thin pebble beds) fine upwards within the CIE to silts and clays</t>
  </si>
  <si>
    <t>Wells offshore western Greenland</t>
  </si>
  <si>
    <t>Atlantic</t>
  </si>
  <si>
    <t>Shallow marine to paralic (Rolle, 1985)</t>
  </si>
  <si>
    <t>Uncertain</t>
  </si>
  <si>
    <t>Nøhr-Hansen et al. (2003)</t>
  </si>
  <si>
    <t>No CIE found in this publication</t>
  </si>
  <si>
    <t>Well 221/20a-4</t>
  </si>
  <si>
    <t>North Sea</t>
  </si>
  <si>
    <t>Restricted marine basin, deeper than 500 m, terrigenous sediment supply</t>
  </si>
  <si>
    <t>06_Deep-marine</t>
  </si>
  <si>
    <t>Increase in laminated claystone relative to non-laminated claystone, modest decrease in sand within CIE relative to onset</t>
  </si>
  <si>
    <t>Yes</t>
  </si>
  <si>
    <t>Kender et al. (2012) Fig. 3</t>
  </si>
  <si>
    <t>CIE thickness is minimum, because data ends within CIE</t>
  </si>
  <si>
    <t>Well 22/11-N1</t>
  </si>
  <si>
    <t>Modest increase in grain size during late onset and main body of CIE</t>
  </si>
  <si>
    <t>03_Increase_terrigenous_grain_size</t>
  </si>
  <si>
    <t>Eldrett et al. (2014) Figs. 2 and 3</t>
  </si>
  <si>
    <t>Very expanded CIE onset relative to main CIE. Erosive surface at base of sand body suggesting that part of CIE body may be missing. CIE recovery is inferred to be condensed or partly eroded.</t>
  </si>
  <si>
    <t>Fur Island</t>
  </si>
  <si>
    <t>Denmark</t>
  </si>
  <si>
    <t>Probably outer neritic (100-200m water depth)</t>
  </si>
  <si>
    <t>Hemipelagic mudstones and local diatomite</t>
  </si>
  <si>
    <t>Change from glauconitic silt to finely laminated, non-calcareous clay</t>
  </si>
  <si>
    <t>Schoon et al. (2015)</t>
  </si>
  <si>
    <t>CIE is interrupted by a glacially disturbed section, such that the total thickness is not clear</t>
  </si>
  <si>
    <t>Store Bælt</t>
  </si>
  <si>
    <t>Epicontinental sea (upper bathyal to outer neritic)</t>
  </si>
  <si>
    <t>Schoon et al. (2015) Fig. 3</t>
  </si>
  <si>
    <t>Complete record of the CIE</t>
  </si>
  <si>
    <t>Well 10</t>
  </si>
  <si>
    <t>West Siberian Sea</t>
  </si>
  <si>
    <t>Epicontinental sea</t>
  </si>
  <si>
    <t>Sapropelitic unit, very high TOC</t>
  </si>
  <si>
    <t>Frieling et al. (2014) Fig. 2</t>
  </si>
  <si>
    <t>Base of CIE shown as an unconformity. Few measurements to delineate PETM CIE. PETM thickness taken as thickness of sapropelitic bed that is inferred to represent the PETM</t>
  </si>
  <si>
    <t>Sokolovsky Quarry</t>
  </si>
  <si>
    <t>Kazakhstan</t>
  </si>
  <si>
    <t>Turgay Straight, a seaway presumed to have connected Tethyan and Boreal oceans. Paleodepth unclear.</t>
  </si>
  <si>
    <t>Iakovleva et al. (2001)</t>
  </si>
  <si>
    <t>No CIE reported</t>
  </si>
  <si>
    <t>Cobham Lignite</t>
  </si>
  <si>
    <t>UK</t>
  </si>
  <si>
    <t>03_Coastal</t>
  </si>
  <si>
    <t>Collinson et al. (2009)</t>
  </si>
  <si>
    <t>Position of CIE not clear</t>
  </si>
  <si>
    <t>Kallo Borehole</t>
  </si>
  <si>
    <t>North Sea/Netherlands</t>
  </si>
  <si>
    <t>Lagoonal</t>
  </si>
  <si>
    <t>Clays and sands</t>
  </si>
  <si>
    <t>Initial reduction in grain size relative to underlying marine sand, roughly coarsening-upwards</t>
  </si>
  <si>
    <t>Steurbaut et al. (2003) Fig. 8</t>
  </si>
  <si>
    <t>CIE thickness based on assumption that the PETM extends throughout duration of Tienen Formation deposition</t>
  </si>
  <si>
    <t>Doel Borehold</t>
  </si>
  <si>
    <t>Vasterival Section, Normandy</t>
  </si>
  <si>
    <t>France</t>
  </si>
  <si>
    <t>Terrestrial (swamp) to tidal flat</t>
  </si>
  <si>
    <t>Lignite interbedded with organic-rich silt and clay, root traces and carbonate nodules (paleosols)</t>
  </si>
  <si>
    <t>Garel et al. (2013) Fig. 3</t>
  </si>
  <si>
    <t>Normandy coast</t>
  </si>
  <si>
    <t>Freshwater lignite overlain by brackish shelly clay</t>
  </si>
  <si>
    <t xml:space="preserve">Lignite and silt, with root traces </t>
  </si>
  <si>
    <t>Increase in lignite deposition relative to underlying paleosols, reflecting an increase in organic carbon deposition. No clear change in siliciclastic grain size.</t>
  </si>
  <si>
    <t>Magioncalda et al. (2001) Fig. 5</t>
  </si>
  <si>
    <t>Location approximate</t>
  </si>
  <si>
    <t>DSDP Site 549</t>
  </si>
  <si>
    <t>Atlantic Ocean</t>
  </si>
  <si>
    <t>Deep-marine</t>
  </si>
  <si>
    <t>Non-terrigenous</t>
  </si>
  <si>
    <t>Red to buff clay with nannofossil oozes</t>
  </si>
  <si>
    <t>Increase in clay relative to nannofossil ooze</t>
  </si>
  <si>
    <t>04_Increase_terrigenous_to_carbonate</t>
  </si>
  <si>
    <t>Ravizza et al. (2001) Fig. 2</t>
  </si>
  <si>
    <t>Anthering</t>
  </si>
  <si>
    <t>Austria</t>
  </si>
  <si>
    <t>Bathyal slope deposits</t>
  </si>
  <si>
    <t>Egger et al. (2005) Fig. 2</t>
  </si>
  <si>
    <t xml:space="preserve">No clear definition of CIE separate from Untserberg section </t>
  </si>
  <si>
    <t>Untersberg</t>
  </si>
  <si>
    <t>Marly claystone and claystone</t>
  </si>
  <si>
    <t>Marlstone below PETM. Transition to marly claystone and claystone within CIE. Return to marlstone deposition following PETM.</t>
  </si>
  <si>
    <t>DSDP Site 401</t>
  </si>
  <si>
    <t>Bay of Biscay</t>
  </si>
  <si>
    <t>Deep-marine (~2000 m paleo-water depth)</t>
  </si>
  <si>
    <t>Claystone</t>
  </si>
  <si>
    <t>Increase in terrigenous clay relative to nannofossil chalk</t>
  </si>
  <si>
    <t>Tremolada and Bralower (2004) Fig. 3; Pälike et al. (2014) Fig. 3</t>
  </si>
  <si>
    <t>Murray Ranch</t>
  </si>
  <si>
    <t>North Dakota</t>
  </si>
  <si>
    <t>Fluvial (paleosols and channel deposits)</t>
  </si>
  <si>
    <t>01_Fluvial</t>
  </si>
  <si>
    <t>Sand and silt</t>
  </si>
  <si>
    <t>Increase in grain size</t>
  </si>
  <si>
    <t xml:space="preserve">Clechenko et al. (2007) Fig. 8 </t>
  </si>
  <si>
    <t>Farmers Butte</t>
  </si>
  <si>
    <t>Sandy mudstone, sandstone, lignite</t>
  </si>
  <si>
    <t>Lignites and mudstone/claystone transition to sandy mudstone and sandstone (modest increase in grain size) following the CIE onset, followed by deposition of lignite.</t>
  </si>
  <si>
    <t>Harrington et al. (2005) Fig. 7</t>
  </si>
  <si>
    <t>Belluno Basin (Cicogna Creek)</t>
  </si>
  <si>
    <t>Italy</t>
  </si>
  <si>
    <t>Near-continental, western Tethys Ocean, paleo-depth estimated between 600-1000m and no deeper than 1500 m (Tipple et al., 2011)</t>
  </si>
  <si>
    <t>Clay-marl unit</t>
  </si>
  <si>
    <t>Marl below PETM. Clay marl within PETM as at the nearby Forada section.</t>
  </si>
  <si>
    <t>Krishnan et al. (2015) Fig. 2</t>
  </si>
  <si>
    <t>Belluno Basin (Forada Section)</t>
  </si>
  <si>
    <t>PETM main body associated with clay marl, which replaces laminated marl and limestone below. Recovery associated with limestone.</t>
  </si>
  <si>
    <t>Tipple et al. (2011) Fig. 2</t>
  </si>
  <si>
    <t>Possagno</t>
  </si>
  <si>
    <t>Clay-marl</t>
  </si>
  <si>
    <t>Transition from marl to clay-rich marl to limestone</t>
  </si>
  <si>
    <t>Agnini et al. (2006) Fig. 2</t>
  </si>
  <si>
    <t>Nearby to other sites in Belluno Basin.</t>
  </si>
  <si>
    <t>Clark Fork, Bighorn Basin</t>
  </si>
  <si>
    <t>Fluvial</t>
  </si>
  <si>
    <t>01_Uncertain</t>
  </si>
  <si>
    <t>Fig. 3 of Koch et al. (2003) Fig. 3</t>
  </si>
  <si>
    <t>Polecat Bench, Bighorn Basin</t>
  </si>
  <si>
    <t>Wyoming</t>
  </si>
  <si>
    <t>Paleosols</t>
  </si>
  <si>
    <t>No change in grain size</t>
  </si>
  <si>
    <t>Kraus et al. (2015) Fig. 2</t>
  </si>
  <si>
    <t>Aktumsuk</t>
  </si>
  <si>
    <t>Uzbekistan</t>
  </si>
  <si>
    <t>Epicontinental seaway</t>
  </si>
  <si>
    <t>Organic-rich sapropelitic</t>
  </si>
  <si>
    <t>Deposition of an organic-rich sapropelitic bed (TOC up to 20%)</t>
  </si>
  <si>
    <t>Gavrilo et al. (2003) Fig. 8</t>
  </si>
  <si>
    <t>Kaurtakapy</t>
  </si>
  <si>
    <t>Marginal northeastern Tethys</t>
  </si>
  <si>
    <t>Bolle and Adatte (2001)</t>
  </si>
  <si>
    <t>Sand Creek Divide, Bighorn Basin</t>
  </si>
  <si>
    <t>Kraus and Riggins (2007) Fig. 2b</t>
  </si>
  <si>
    <t>Only main body of CIE is defined, with "???" on lower and upper limits</t>
  </si>
  <si>
    <t>Silt-clay paleosols, sand fluvial channel bodies</t>
  </si>
  <si>
    <t>Foreman et al. (2014) Fig. 2b</t>
  </si>
  <si>
    <t>Cabin Fork, Bighorn Basin</t>
  </si>
  <si>
    <t>Unclear if there is a lithologic change at this locality</t>
  </si>
  <si>
    <t>Wing et al. (2005) Fig. 3</t>
  </si>
  <si>
    <t>Kheu River</t>
  </si>
  <si>
    <t>Caucasus</t>
  </si>
  <si>
    <t>Organic-rich sapropelitic bed (mudstone) overlain by marlstone.</t>
  </si>
  <si>
    <t>Marlstone overlain by an organic-rich sapropelitic bed (TOC up to 20%). Return to marlstone during recovery.</t>
  </si>
  <si>
    <t>Dickson et al. (2015) Fig. 2</t>
  </si>
  <si>
    <t>Trabaku Pass</t>
  </si>
  <si>
    <t>Spain</t>
  </si>
  <si>
    <t>Middle or lower bathyal environment (Canudo et al., 1995)</t>
  </si>
  <si>
    <t>Gray marl and limestone gives way to dark brown shale and red clay during the PETM</t>
  </si>
  <si>
    <t>Schmitz et al. (2001)</t>
  </si>
  <si>
    <t>Trabakua Pass section is very similar to Zumaia</t>
  </si>
  <si>
    <t>Zumaia</t>
  </si>
  <si>
    <t>Schmitz et al. (2001) Fig. 3</t>
  </si>
  <si>
    <t>Orio, Basque Basin</t>
  </si>
  <si>
    <t>Deep-water, turbiditic</t>
  </si>
  <si>
    <t>Pebbly sandstones</t>
  </si>
  <si>
    <t>Increase in grain size relative to underlying sandstones. Overlain by carbonates.</t>
  </si>
  <si>
    <t>Pujalte et al. (2015) Fig. 11</t>
  </si>
  <si>
    <t>Ermua</t>
  </si>
  <si>
    <t>Base of slope apron, turbiditic</t>
  </si>
  <si>
    <t>Marl and limestone transitions to claystone following a lag</t>
  </si>
  <si>
    <t>Upper part of CIE not defined</t>
  </si>
  <si>
    <t>Laminoria section</t>
  </si>
  <si>
    <t>Incised valley (fluvial)</t>
  </si>
  <si>
    <t>Calcareous claystone, pebbly quartz sand, and silty clay</t>
  </si>
  <si>
    <t>Interpreted incised valley fill</t>
  </si>
  <si>
    <t>Pujalte et al. (2015) Fig. 4</t>
  </si>
  <si>
    <t>No clear definition of CIE. Thickness is an estimate. Laminoria section shows increasing d13Corg trend which may represent CIE recovery, but onset and post-CIE not recorded</t>
  </si>
  <si>
    <t>Korres section</t>
  </si>
  <si>
    <t>Terrestrial (soil carbonate-bearing calcareous clays)</t>
  </si>
  <si>
    <t>Terrigenous calcareous clays with soil carbonate nodules</t>
  </si>
  <si>
    <t>Interpreted terrestrial deposition within an otherwise limestone-dominated succession</t>
  </si>
  <si>
    <t>No C-isotope data available. PETM tenatively interpreted to coincide with terrestrial claystone that overlies subaerially exposed platform carbonates</t>
  </si>
  <si>
    <t>Dagestan</t>
  </si>
  <si>
    <t>Mudstone and organic-rich mudstone</t>
  </si>
  <si>
    <t>Change from marlstone to mudstone and organic-rich and mudstone within PETM. Recovery associated with return to marlstone.</t>
  </si>
  <si>
    <t>Tozal del Cebollar</t>
  </si>
  <si>
    <t>Shallow marine carbonate shelf/braid delta</t>
  </si>
  <si>
    <t>Coarse-grained sandstones and foraminferal limestones</t>
  </si>
  <si>
    <t>Transition from linestone to foraminferal bioclastic packstones (marl) and sandstone followed by a return to limestone</t>
  </si>
  <si>
    <t>Pujalte et al. (2016) Fig. 14</t>
  </si>
  <si>
    <t>Note that the CIE is not identified in the siliciclastic La Pardina Formation, but this unit is believed to be PETM-related due to interfingering with fine-grained facies present basinward. Location approximate</t>
  </si>
  <si>
    <t>Brecha de Arazas</t>
  </si>
  <si>
    <t>Transition from linestone to foraminiferal limestone and sandstone followed by a return to limestone</t>
  </si>
  <si>
    <t>Campo, Tremp Basin</t>
  </si>
  <si>
    <t>Neritic</t>
  </si>
  <si>
    <t>Sandstone and lutites</t>
  </si>
  <si>
    <t>Influx of sand over pre-PETM shale</t>
  </si>
  <si>
    <t>Pujalte et al. (2015) Fig. 2</t>
  </si>
  <si>
    <t>Berganuy, Tremp Basin</t>
  </si>
  <si>
    <t>Mudstone-dominated alluvial, abundant paleosols</t>
  </si>
  <si>
    <t>Conglomerate (base) followed by yellow-orange paleosols</t>
  </si>
  <si>
    <t>Conglomerate associated with the basal PETM</t>
  </si>
  <si>
    <t>Schmitz and Pujalte (2007) Fig. 3</t>
  </si>
  <si>
    <t>Esplugafreda, Tremp Basin</t>
  </si>
  <si>
    <t>Schmitz and Pujalte (2003) Fig. 2</t>
  </si>
  <si>
    <t>Hanna Draw Road, Hanna Basin</t>
  </si>
  <si>
    <t>Mudstone to very coarse sandstone</t>
  </si>
  <si>
    <t>Dechesne et al. (2020) Fig. 4; Nace and Spencer (2019) Fig. 2</t>
  </si>
  <si>
    <t>Onset and recovery not differentiated</t>
  </si>
  <si>
    <t>Piceance Creek</t>
  </si>
  <si>
    <t>Colarado</t>
  </si>
  <si>
    <t>Clay, silt, medium sand</t>
  </si>
  <si>
    <t xml:space="preserve">Foreman et al. (2012) Fig. 2 </t>
  </si>
  <si>
    <t>CIE onset and recovery not labeled</t>
  </si>
  <si>
    <t>Wilson Lake</t>
  </si>
  <si>
    <t>New Jersey</t>
  </si>
  <si>
    <t>Shallow marine - shelf</t>
  </si>
  <si>
    <t>Clay</t>
  </si>
  <si>
    <t>Stassen et al. (2012) Fig. 3</t>
  </si>
  <si>
    <t>Ancora</t>
  </si>
  <si>
    <t>Bass River</t>
  </si>
  <si>
    <t>Axehandle Canyon</t>
  </si>
  <si>
    <t>Utah</t>
  </si>
  <si>
    <t>Mudstone, siltstone, and sandstone</t>
  </si>
  <si>
    <t>No clear change in grain size</t>
  </si>
  <si>
    <t>Bowen and Bowen (2008) Fig. 2; VanDeVelde et al. (2013) Fig. 1</t>
  </si>
  <si>
    <t>Ephraim Canyon</t>
  </si>
  <si>
    <t>Palustrine and lacustrine (limestone and dolostone)</t>
  </si>
  <si>
    <t>02_Lacustrine</t>
  </si>
  <si>
    <t>Specific location of PETM is uncertain</t>
  </si>
  <si>
    <t>Cove Mountain</t>
  </si>
  <si>
    <t>South Dover Bridge</t>
  </si>
  <si>
    <t>Maryland</t>
  </si>
  <si>
    <t>Shallow marine - shelf (inner to middle neritic, &lt;40-50 m depth)</t>
  </si>
  <si>
    <t>Self-Trail et al. (2012) Fig. 5</t>
  </si>
  <si>
    <t>Caravaca</t>
  </si>
  <si>
    <t>Upper bathyal to outer neritic (200-600 m)</t>
  </si>
  <si>
    <t>Dark gray laminated shale</t>
  </si>
  <si>
    <t>Marl and limestone transitions to dark gray laminated shale in the PETM</t>
  </si>
  <si>
    <t>Canudo et al. (1995) Fig. 5</t>
  </si>
  <si>
    <t>Parts of zones P4-P6 inferred to be missing</t>
  </si>
  <si>
    <t>Guru-Fatima</t>
  </si>
  <si>
    <t>Tajikistan</t>
  </si>
  <si>
    <t>Organic-rich mudstone overlain by laminated mudstone</t>
  </si>
  <si>
    <t>Change from marlstone to organic-rich and laminated mudstone within PETM. Recovery associated with a return to marlstone.</t>
  </si>
  <si>
    <t>Kurpai/Tadjik Depression</t>
  </si>
  <si>
    <t>Kurpai</t>
  </si>
  <si>
    <t>Epicontinental seaway (based on proximity to nearby Guru-Fatima)</t>
  </si>
  <si>
    <t>Gavrilov et al. (1997, 2003)</t>
  </si>
  <si>
    <t>Alamedilla</t>
  </si>
  <si>
    <t>1000-2000m water depth</t>
  </si>
  <si>
    <t>Increase in clay relative to marl during the CIE</t>
  </si>
  <si>
    <t>Lu et al. (1998) Fig. 13</t>
  </si>
  <si>
    <t>Lodo Gulch</t>
  </si>
  <si>
    <t>California</t>
  </si>
  <si>
    <t>Outer shelf or slope (neritic to bathyal, &lt;200m to ~600 m depth)</t>
  </si>
  <si>
    <t>Claystone and siltstone</t>
  </si>
  <si>
    <t>John et al. (2008) Fig. 3</t>
  </si>
  <si>
    <t>Tumey Gulch</t>
  </si>
  <si>
    <t>Shelf edge or upper slope (bathyal)</t>
  </si>
  <si>
    <t>Modest decrease in grain size</t>
  </si>
  <si>
    <t>John et al. (2008) Fig. 4</t>
  </si>
  <si>
    <t xml:space="preserve">CIE has modeslty less sand than underlying ~30m. </t>
  </si>
  <si>
    <t>Elles Section</t>
  </si>
  <si>
    <t>Tunisia</t>
  </si>
  <si>
    <t>Silty marl</t>
  </si>
  <si>
    <t>Increase in silt deposition relative to shale and marl, reflecting increased detrital input</t>
  </si>
  <si>
    <t>Crouch et al. (2003) Fig. 4</t>
  </si>
  <si>
    <t>CIE not very clear, but IETM labeled by dashed line. Depositional setting not entirely clear, beyond open marine</t>
  </si>
  <si>
    <t>Sidi Nasseur</t>
  </si>
  <si>
    <t>Shallow marine (middle to inner neritic, open marine)</t>
  </si>
  <si>
    <t>Shale and marl</t>
  </si>
  <si>
    <t>Shale before, increasing CaCO3 content during PETM CIE</t>
  </si>
  <si>
    <t>05_Decrease_terrigenous_to_carbonate</t>
  </si>
  <si>
    <t>CIE recovery not shown, and presumed top of PETM truncated by unconformity.</t>
  </si>
  <si>
    <t>Forum Selja</t>
  </si>
  <si>
    <t>Southern Tunisia</t>
  </si>
  <si>
    <t>Tethys (exactly water depth uncertain, but presumed shelfal)</t>
  </si>
  <si>
    <t>No clear definition of the CIE</t>
  </si>
  <si>
    <t>Beigou, Nanyang</t>
  </si>
  <si>
    <t>China</t>
  </si>
  <si>
    <t>Lacustrine (deep lake)</t>
  </si>
  <si>
    <t>Marl and calcareous mudstone</t>
  </si>
  <si>
    <t>Increase in terrigenous mud</t>
  </si>
  <si>
    <t>Chen et al. (2016) Fig. 5</t>
  </si>
  <si>
    <t>ODP Site 1209</t>
  </si>
  <si>
    <t>Shatsky Rise</t>
  </si>
  <si>
    <t>Paleodepth of 2000 m</t>
  </si>
  <si>
    <t>Calcareous ooze</t>
  </si>
  <si>
    <t>Change from light calcareous ooze (~95% carbonate) to dark calcareous ooze (80% carbonate)</t>
  </si>
  <si>
    <t>Kaiho et al. (2006) Fig. 2</t>
  </si>
  <si>
    <t>Upper limit of the CIE is queried</t>
  </si>
  <si>
    <t>ODP Site 1210</t>
  </si>
  <si>
    <t>Paleodepth of 2160 m</t>
  </si>
  <si>
    <t>Harrell Core</t>
  </si>
  <si>
    <t>Gulf Coast, US</t>
  </si>
  <si>
    <t>Coastal (estuarine and lagoonal)</t>
  </si>
  <si>
    <t>Modest increase in grain size</t>
  </si>
  <si>
    <t xml:space="preserve">Sluijs et al. (2014) Fig. 3 </t>
  </si>
  <si>
    <t>Note CIE thickness is a minimum as bounded above and below by unconformities</t>
  </si>
  <si>
    <t>ODP Site 1211</t>
  </si>
  <si>
    <t>Paleodepth of ~2000 m based on correlation to nearby ODP sites</t>
  </si>
  <si>
    <t>Colosimo et al. (2005) Fig. F8</t>
  </si>
  <si>
    <t>CIE thickness of ~0.1 m; seems truncated relative to ODP 1210 and 1209</t>
  </si>
  <si>
    <t>Bear Creek, Alabama</t>
  </si>
  <si>
    <t>Gulf Coast</t>
  </si>
  <si>
    <t>Shallow marine/estuarine</t>
  </si>
  <si>
    <t>Harrington and Kemp (2001)</t>
  </si>
  <si>
    <t>Slocum oil field</t>
  </si>
  <si>
    <t>Texas Gulf Coast</t>
  </si>
  <si>
    <t>Shallow marine/deltaic</t>
  </si>
  <si>
    <t>Oakwood Salt Dome</t>
  </si>
  <si>
    <t>Zomet Telalim</t>
  </si>
  <si>
    <t>Israel</t>
  </si>
  <si>
    <t>Minimum depth of deposition ~500m (Bolle et al., 2000)</t>
  </si>
  <si>
    <t>Calcareous mudstone and marl</t>
  </si>
  <si>
    <t>PETM associated with a modest increase in calcite and slight drop in quartz and phyllosilicate conent</t>
  </si>
  <si>
    <t>Bolle et al. (2000a) Fig. 5</t>
  </si>
  <si>
    <t>Ben Gurion</t>
  </si>
  <si>
    <t>Between 500-700 m water depth (Bolle et al., 2000)</t>
  </si>
  <si>
    <t>Calcareous mudstone and calcareous marl</t>
  </si>
  <si>
    <t>PETM associated with a strong increase in carbonate abundance (to 90%)</t>
  </si>
  <si>
    <t>Bastrop</t>
  </si>
  <si>
    <t>Shallow marine transgression over a broad shelf</t>
  </si>
  <si>
    <t>Demchuk et al. (2019)</t>
  </si>
  <si>
    <t>PETM is associated with a ~1m dark band on basis of Apectodinium acme. No definition of CIE.</t>
  </si>
  <si>
    <t>ODP Site 1051B, Blake Nose</t>
  </si>
  <si>
    <t>Eastern United States</t>
  </si>
  <si>
    <t>Open marine</t>
  </si>
  <si>
    <t>Bains et al. (1999) Fig. 1</t>
  </si>
  <si>
    <t>Little lithologic information provided</t>
  </si>
  <si>
    <t>Big Bend National Park</t>
  </si>
  <si>
    <t>Western Texas</t>
  </si>
  <si>
    <t>White and Schiebout et al. (2008)</t>
  </si>
  <si>
    <t>Position of CIE is unclear</t>
  </si>
  <si>
    <t>Abu Zenima</t>
  </si>
  <si>
    <t>Egypt</t>
  </si>
  <si>
    <t>Bathyal (500-600m)</t>
  </si>
  <si>
    <t>Silty marl and dark brown laminated silty claystone</t>
  </si>
  <si>
    <t>Marl before and after PETM, increase in silt and clay relative to carbonate during PETM</t>
  </si>
  <si>
    <t>Khozyem et al. (2013) Fig. 4</t>
  </si>
  <si>
    <t>Lower part of PETM missing</t>
  </si>
  <si>
    <t>Gebel Matulla</t>
  </si>
  <si>
    <t>Upper bathyal (~500m)</t>
  </si>
  <si>
    <t>Marl</t>
  </si>
  <si>
    <t>Decrease in calcite to 4% and associated increase in phyllosilicates, quartz, and potassic feldpsar</t>
  </si>
  <si>
    <t>Bolle et al. (2000b) Fig. 9</t>
  </si>
  <si>
    <t>Fredericksburg</t>
  </si>
  <si>
    <t>Gulf of Mexico</t>
  </si>
  <si>
    <t>Lithologies during the latest Paleocene and earliest Eocene are generally limestone and marl, with the abundance of marl increasing in the Eocene. The specific location of the PETM is not clear, thus lithologic change is uncertain</t>
  </si>
  <si>
    <t>Cunningham et al. (2022) Table S1, Fig. 6</t>
  </si>
  <si>
    <t>Thickness based on calcareous nannofossil event and excursion taxa; CIE not available. Considered semi-reliable PETM pick.</t>
  </si>
  <si>
    <t>Cheyenne</t>
  </si>
  <si>
    <t>Deep-water submarine fan</t>
  </si>
  <si>
    <t>Cunningham et al. (2022) Table S1</t>
  </si>
  <si>
    <t>Shenzi 4</t>
  </si>
  <si>
    <t>Anchor 3</t>
  </si>
  <si>
    <t>Deep-water turbidites</t>
  </si>
  <si>
    <t>Organic-lean and calcareous claystone (CIE body) followed by a return to silty turbidites (CIE recovery)</t>
  </si>
  <si>
    <t>Decrease in terrigenous grain size, following a lag, during the main CIE. Resumption of background facies during CIE recovery.</t>
  </si>
  <si>
    <t>Zarra et al., 2019; this study</t>
  </si>
  <si>
    <t>Mad Dog Deep 2</t>
  </si>
  <si>
    <t>Turtle Lake</t>
  </si>
  <si>
    <t>Hengyang Basin</t>
  </si>
  <si>
    <t>Floodplain</t>
  </si>
  <si>
    <t>Brick-red to tan sandstones and mudstones</t>
  </si>
  <si>
    <t>Unclear, as no log or description provided</t>
  </si>
  <si>
    <t>Bowen et al. (2002) Science</t>
  </si>
  <si>
    <t>Yucatan North 3</t>
  </si>
  <si>
    <t>Baja 2</t>
  </si>
  <si>
    <t>Bass</t>
  </si>
  <si>
    <t>Sardinia</t>
  </si>
  <si>
    <t>ODP Site 1215</t>
  </si>
  <si>
    <t>Equatorial Pacific</t>
  </si>
  <si>
    <t>Clayey calcareous ooze</t>
  </si>
  <si>
    <t>Drop in carbonate content (&lt;10%) from 60-80% during the PETM</t>
  </si>
  <si>
    <t>Leon-Rodriguez et al. (2010) Fig. 4</t>
  </si>
  <si>
    <t>Logan</t>
  </si>
  <si>
    <t>Dababiya</t>
  </si>
  <si>
    <t>Outer(most) neritic (175 to 200 m water depth)</t>
  </si>
  <si>
    <t>Shale and calcareous shale with P-nodules</t>
  </si>
  <si>
    <t xml:space="preserve">Change from calcareous shale to laminated shale during CIE onset and then return to calcareous shale above </t>
  </si>
  <si>
    <t>Schulte et al. (2011) Fig. 4; see also Dupuis et al. (2003) and Aubry et al. (2007)</t>
  </si>
  <si>
    <t>Khasi Hills</t>
  </si>
  <si>
    <t>India</t>
  </si>
  <si>
    <t>Marginal coastal marine setting</t>
  </si>
  <si>
    <t>Shale</t>
  </si>
  <si>
    <t>Little obvious change across the CIE (section is dominated by shale)</t>
  </si>
  <si>
    <t>Prasad et al. (2006) Fig. 4</t>
  </si>
  <si>
    <t>Gebel Duwi</t>
  </si>
  <si>
    <t>Middle neritic (70-100 m water depth)</t>
  </si>
  <si>
    <t>Switch from marly-shale to shale</t>
  </si>
  <si>
    <t>Valia</t>
  </si>
  <si>
    <t>Western India</t>
  </si>
  <si>
    <t>Lagoonal with marine incursion horizons</t>
  </si>
  <si>
    <t>Glauconite-bearing gray shale and lignitic coal</t>
  </si>
  <si>
    <t>PETM overlies Deccan flood basalt basement</t>
  </si>
  <si>
    <t>Samanta et al. (2013) Fig. 8</t>
  </si>
  <si>
    <t>Valia is located ~20 km NE of Vastan locality</t>
  </si>
  <si>
    <t>ODP Expedition 364 Site M0077</t>
  </si>
  <si>
    <t>Pelagic and outer-platform deposition in water depths of 600-700 m</t>
  </si>
  <si>
    <t>Laminated black shale</t>
  </si>
  <si>
    <t>Change from limestone to laminated black shale (CIE) back to limestone (post-CIE)</t>
  </si>
  <si>
    <t>Smith et al. (2020) Fig. 2</t>
  </si>
  <si>
    <t>Vastan</t>
  </si>
  <si>
    <t>Grey shale and lignitic shale</t>
  </si>
  <si>
    <t>Yax-1 core</t>
  </si>
  <si>
    <t>Yucatán, Mexico</t>
  </si>
  <si>
    <t>Carbonate wackestone and packstone</t>
  </si>
  <si>
    <t>No clear change based on stratigraphic log</t>
  </si>
  <si>
    <t>Whalen et al. (2013) Fig. 3</t>
  </si>
  <si>
    <t>Cored lithologies are not dominantly terrigenous, but rather are carbonates</t>
  </si>
  <si>
    <t>ODP Site 865</t>
  </si>
  <si>
    <t>Allison Guyot</t>
  </si>
  <si>
    <t>Upper half of lower bathyal (1300-1500 m)</t>
  </si>
  <si>
    <t>Foraminiferal nannofossil ooze</t>
  </si>
  <si>
    <t>No change in lithology shown on log in Fig. 11</t>
  </si>
  <si>
    <t>Bralower et al. (1995) Fig. 11</t>
  </si>
  <si>
    <t>ODP Site 1001</t>
  </si>
  <si>
    <t>Nicaragua Rise</t>
  </si>
  <si>
    <t>Chalk before and after PETM which is represented by a claystone</t>
  </si>
  <si>
    <t>Bralower et al. (1997) Fig. 4</t>
  </si>
  <si>
    <t>ODP Site 999</t>
  </si>
  <si>
    <t>Colombia Basin</t>
  </si>
  <si>
    <t>Bralower et al. (1997) Fig. 3</t>
  </si>
  <si>
    <t>ODP Site 1221</t>
  </si>
  <si>
    <t>Deep-water, abyssal plain</t>
  </si>
  <si>
    <t>Multicolored clay-rich unit</t>
  </si>
  <si>
    <t>Transition from calcareous chalk to a clay-rich unit during the PETM, followed by a return to calcareous chalk</t>
  </si>
  <si>
    <t>Raffi et al. (2005) Fig. 4</t>
  </si>
  <si>
    <t>Mar2X</t>
  </si>
  <si>
    <t>Venezuela</t>
  </si>
  <si>
    <t>Fluvial to coastal plain</t>
  </si>
  <si>
    <t>Mudstone and sandstone</t>
  </si>
  <si>
    <t>No interpreted change</t>
  </si>
  <si>
    <t>Jaramillo et al. (2010) Fig. 2</t>
  </si>
  <si>
    <t>Riecito Mache</t>
  </si>
  <si>
    <t>Jaramillo et al. (2010) Fig. 3</t>
  </si>
  <si>
    <t>ODP Site 1220B</t>
  </si>
  <si>
    <t>ODP Site 1258</t>
  </si>
  <si>
    <t>Demerara Rise</t>
  </si>
  <si>
    <t>Paleodepth of ~2500 m</t>
  </si>
  <si>
    <t>Green claystone</t>
  </si>
  <si>
    <t>Foraminifer nannofossil chalk that transitions to a claystone followed by a return to foraminifer nannofossil chalk</t>
  </si>
  <si>
    <t>Pälike et al. (2014) Fig. 2</t>
  </si>
  <si>
    <t>ODP Site 1259</t>
  </si>
  <si>
    <t>~2500 m paleowater depth (based off of ODP 1258 which is nearby, Palike et al., 2014)</t>
  </si>
  <si>
    <t>Dark-green clay</t>
  </si>
  <si>
    <t>Transition from chalk to dark-gray clay, associated with dissolution</t>
  </si>
  <si>
    <t>Jiang and Wise (2006) Fig. 2</t>
  </si>
  <si>
    <t>ODP Site 1260</t>
  </si>
  <si>
    <t>Greenish-gray clay and clayey nannofossil chalk</t>
  </si>
  <si>
    <t>Nannofossil-foraminfera chalk that transitions to clay and clayey chalk during the early PETM before returning to chalk</t>
  </si>
  <si>
    <t>Mutterlose et al. (2007) Fig. 3</t>
  </si>
  <si>
    <t>Shallow water carbonate platform (open ocean atoll)</t>
  </si>
  <si>
    <t>Packstone-grainstone that transitions to foraminferal wackstone</t>
  </si>
  <si>
    <t>Decrease in carbonate grain size during the PETM. However, no increase in clastic sediment.</t>
  </si>
  <si>
    <t>Robinson et al. (2011) Fig. 1</t>
  </si>
  <si>
    <t>CIE is interpreted to "most likely represents part of the PETM CIE".</t>
  </si>
  <si>
    <t>Bogota Basin</t>
  </si>
  <si>
    <t>Colombia</t>
  </si>
  <si>
    <t>Paleosols (fluvial)</t>
  </si>
  <si>
    <t>Morón et al. (2013)</t>
  </si>
  <si>
    <t>Morón et al. (2013) notes that chronology is insufficient for PETM CIE definition</t>
  </si>
  <si>
    <t>Tanzania Drilling Program</t>
  </si>
  <si>
    <t>Tanzania</t>
  </si>
  <si>
    <t>Outer shelf to slope bathyal environment (water depths &gt;300 m). Proximity to continent (~70 km from shoreline)</t>
  </si>
  <si>
    <t>Claystone &amp; siltstone, minor sandstone</t>
  </si>
  <si>
    <t>Claystone below PETM and during basal event. Increase in grain size during mid-to late-PETM, followed by a return to claystone. Interpreted increased sediment dilution.</t>
  </si>
  <si>
    <t>Aze et al. (2014) Fig. 1</t>
  </si>
  <si>
    <t>DSDP Site 213</t>
  </si>
  <si>
    <t>Indian Ocean</t>
  </si>
  <si>
    <t>Indian Ocean. Paleowater depth uncertain.</t>
  </si>
  <si>
    <t>PETM overlies basement. Post-CIE is nannofossil ooze.</t>
  </si>
  <si>
    <t>Tremolada and Bralower (2004) Fig. 4</t>
  </si>
  <si>
    <t>PETM overlies basement</t>
  </si>
  <si>
    <t>DSDP Site 530</t>
  </si>
  <si>
    <t>Angola Basin</t>
  </si>
  <si>
    <t>Interbedded mudstones, marlstones, and chalk</t>
  </si>
  <si>
    <t>Robert and Chamley (1991)</t>
  </si>
  <si>
    <t>No C-isotopic data</t>
  </si>
  <si>
    <t>ODP Site 762C</t>
  </si>
  <si>
    <t>Exmouth Plateau</t>
  </si>
  <si>
    <t>Shamrock et al. (2012)</t>
  </si>
  <si>
    <t>No detail provided on PETM CIE or lithology</t>
  </si>
  <si>
    <t>ODP Site 1262</t>
  </si>
  <si>
    <t>Walvis Ridge</t>
  </si>
  <si>
    <t>3600 m paleowater depth (Chun et al., 2010)</t>
  </si>
  <si>
    <t>Calcareous clay</t>
  </si>
  <si>
    <t>Calcareous ooze (?) replaced by calcareous claystone during PETM</t>
  </si>
  <si>
    <t>Raffi et al. (2009) Fig. 3</t>
  </si>
  <si>
    <t>CIE recovery not as clearly indicated as it is with ODP 1263</t>
  </si>
  <si>
    <t>ODP Site 1263</t>
  </si>
  <si>
    <t>1500 m paleowater depth (Chun et al., 2010)</t>
  </si>
  <si>
    <t>Zachos et al. (2005) Fig. 3; see also Raffi et al. (2009) Fig. 3</t>
  </si>
  <si>
    <t>Includes both "core" and recovery interval</t>
  </si>
  <si>
    <t>ODP Site 1266</t>
  </si>
  <si>
    <t>2600 m paleowater depth (Chun et al., 2010)</t>
  </si>
  <si>
    <t xml:space="preserve">Zachos et al. (2005) Fig. 2. </t>
  </si>
  <si>
    <t>Tawanui</t>
  </si>
  <si>
    <t>New Zealand</t>
  </si>
  <si>
    <t>Upper middle bathyal water depths (500-1000m), but relatively close to land</t>
  </si>
  <si>
    <t>Dark gray, calcareous siltstone</t>
  </si>
  <si>
    <t>Siltstone before and during main phase of CIE. Decrease in carbonate content by 5-10% during PETM. Increase in sand content post-CIE?</t>
  </si>
  <si>
    <t>Crouch et al. (2003b: Paleo) Fig. 3</t>
  </si>
  <si>
    <t>Includes units B-D, that include onset, main body, and recovery</t>
  </si>
  <si>
    <t>Mead Stream</t>
  </si>
  <si>
    <t>Upper continental slope</t>
  </si>
  <si>
    <t>Marl to marly limeestone to limestone, with increase carbonate content upwards</t>
  </si>
  <si>
    <t>Limestone to marl and marly limeestone during the main PETM, followed by a return to limestone in CIE recovery and post-CIE</t>
  </si>
  <si>
    <t>Nicolo et al. (2010) Fig. 2</t>
  </si>
  <si>
    <t>Dee Stream</t>
  </si>
  <si>
    <t>Nicolo et al. (2010) Fig. 3</t>
  </si>
  <si>
    <t>Kumara-2</t>
  </si>
  <si>
    <t>PETM is marine, but surrounding units are backswamp, over-bank, and channel-fill deposits</t>
  </si>
  <si>
    <t>Non-calcareous mudstone</t>
  </si>
  <si>
    <t>Handley et al. (2011) Fig. 2</t>
  </si>
  <si>
    <t>ODP Site 1172</t>
  </si>
  <si>
    <t>East Tasman Plateau</t>
  </si>
  <si>
    <t>Marginal marine (Bijl et al., 2009) or shallow marine (Sluijs et al., 2011) depositional setting, marked runoff from nearby landmass</t>
  </si>
  <si>
    <t>Green and gray clay- and siltstones</t>
  </si>
  <si>
    <t>No log provided. No change in sedimentation rate noted. PETM is noted to be slightly coarser, but not quantified.</t>
  </si>
  <si>
    <t>Sluijs et al. (2011) Fig. 3</t>
  </si>
  <si>
    <t>Kakahu</t>
  </si>
  <si>
    <t>New Zealand, South Island</t>
  </si>
  <si>
    <t>Coastal (coal bearing)</t>
  </si>
  <si>
    <t>Pole (2010)</t>
  </si>
  <si>
    <t>ODP Site 1135, Kerguelan Plateau</t>
  </si>
  <si>
    <t>Southern Ocean</t>
  </si>
  <si>
    <t>No increase in terrestrial clay, unlike many other deep-marine PETM sections</t>
  </si>
  <si>
    <t>Jiang and Wise (2009) Fig. 2</t>
  </si>
  <si>
    <t>1350 m paleodepth (Palike et al., 2014) or 2000-2500 m (Larrasoana et al., 2012)</t>
  </si>
  <si>
    <t>White calcareous foraminiferal nannofossil chalk</t>
  </si>
  <si>
    <t>Decrease from &gt;90% to ~70% CaCO3 during the early PETM</t>
  </si>
  <si>
    <t>Larrasoaña et al. (2012) Fig. 2</t>
  </si>
  <si>
    <t>ODP Site 690, Maud Rise</t>
  </si>
  <si>
    <t>2100 m paleodepth (Palike et al., 2014)</t>
  </si>
  <si>
    <t>Nanno-fossil ooze</t>
  </si>
  <si>
    <t>Increase in kaolinite (Robert and Chamley, 1991)</t>
  </si>
  <si>
    <t>Zachos et al. (2005), Fig. 2; see also Kennet and Stott (1991)</t>
  </si>
  <si>
    <t>Agnini, C., Muttoni, G., Kent, D. V., and Rio, D., 2006, Eocene biostratigraphy and magnetic stratigraphy from Possagno, Italy: The calcareous nannofossil response to climate variability: Earth and Planetary Science Letters, v. 241, p. 815–830, doi:10.1016/j.epsl.2005.11.005.</t>
  </si>
  <si>
    <t>Aubry, M.-P., Ouda, K., Dupuis, C., Berggren, W.A., Van Couvering, J.A., and the Members of the Working Group on the Paleocene/Eocene Boundary, 2007, The Global Standard Stratotype-section and Point (GSSP) for the base of the Eocene Series in the Dababiya section (Egypt):  Episodes, v. 30, p. 271-286.</t>
  </si>
  <si>
    <t>Aze, T. et al., 2014, Extreme warming of tropical waters during the Paleocene-Eocene thermal maximum: Geology, v. 42, p. 739–742, doi:10.1130/G35637.1.</t>
  </si>
  <si>
    <t>Bains, S., Corfield, R.M., and Norris, R.D., 1999, Mechanisms of climate warming at the end of the Paleocene, v. 285, p. 724-727.</t>
  </si>
  <si>
    <t>Bijl, P.K., Schouten, S., Sluijs, A., Reichart, G.-J., Zachos, J.C., and Brinkhuis, H., 20009, Early Paleogene temperature evolution of the southwest Pacific Ocean: Nature, v. 461, p. 776-779.</t>
  </si>
  <si>
    <t>Bolle, M.P., and Adatte, T., 2001, Palaeocene early Eocene climatic evolution in the Tethyan realm: clay mineral evidence: Clay Minerals, v. 36, p. 249–261, doi:Doi 10.1180/000985501750177979.</t>
  </si>
  <si>
    <t>Bolle, M.P., Pardo, A., Adatte, T., Von Salis, K., and Burns, S., 2000a, Climatic evolution on the southeastern margin of the Tethys (Negev, Israel) from the Palaeocene to the early Eocene: Focus on the late Palaeocene thermal maximum: Journal of the Geological Society, v. 157, p. 929–941, doi:10.1144/jgs.157.5.929.</t>
  </si>
  <si>
    <t>Bolle, M.P., Tantawy, A.A., Pardo, A., Adatte, T., Burns, S., and Kassab, A., 2000b, Climatic and environmental changes documented in the upper Paleocene to lower Eocene of Egypt: Eclogae Geologicae Helvetiae, v. 93, p. 33–51.</t>
  </si>
  <si>
    <t>Bowen, G.J., and Bowen, B.B., 2008, Mechanisms of PETM global change constrained by a new record from central Utah: Geology, v. 36, p. 379-382.</t>
  </si>
  <si>
    <t>Bowen, G.J., Clyde, W.C., Koch, P.L., Ting, S., Alroy, J., Tsubamoto, T., Wang, Y., and Wang, Y., 2002, Mammalian dispersal at the Paleocene/Eocene boundary: Science, v. 295, p. 2062-2066.</t>
  </si>
  <si>
    <t>Bralower, T.J., Thomas, D.J., Zachos, J.C., Hirschmann, M.M., Röhl, U., Sigurdsson, H., Thomas, E., and Whitney, D.L., 1997, High-resolution records of the late Paleocene thermal maximum and circum-Caribbean volcanism: Is there a causal link? Geology, v. 25, p. 963–966, doi:10.1130/0091-7613(1997)025&lt;0963:HRROTL&gt;2.3.CO;2.</t>
  </si>
  <si>
    <t>Bralower, T.J., Zachos, J.C., Thomas, E., Parrow, M., Paull, C.K., Kelly, D.C., Silva, I.P., Sliter, W. V., and Lohmann, K.C., 1995, Late Paleocene to Eocene paleoceanography of the equatorial Pacific Ocean: Stable isotopes recorded at Ocean Drilling Program Site 865, Allison Guyot: Paleoceanography, v. 10, p. 841–865, doi:10.1029/95PA01143.</t>
  </si>
  <si>
    <t>Canudo, J.I., Keller, G., Molina, E., and Ortiz, N., 1995, Planktic foraminiferal turnover and δ13C isotopes across the Paleocene-Eocene transition at Caravaca and Zumaya, Spain: Palaeogeography, Palaeoclimatology, Palaeoecology, v. 114, p. 75–100, doi:10.1016/0031-0182(95)00073-U.</t>
  </si>
  <si>
    <t>Chen, Z., Ding, Z., Yang, S., Zhang, C., and Wang, X., 2016, Increased precipitation and weathering across the Paleocene-Eocene Thermal Maximum in central China: Geochemistry Geophysics Geosystems, v. 17, p. 2286–2297, doi:10.1002/2016GC006406.</t>
  </si>
  <si>
    <t>Clechenko, E.R., Kelly, D.C., Harrington, G.J., and Stiles, C.A., 2007, Terrestrial records of a regional weathering profile at the Paleocene-Eocene boundary in the Williston Basin of North Dakota: Bulletin of the Geological Society of America, v. 119, p. 428–442, doi:10.1130/B26010.1.</t>
  </si>
  <si>
    <t>Collinson, M.E., Steart, D.C., Harrington, G.J., Hooker, J.J., Scott, A.C., Allen, L.O., Glasspool, I.J., and Gibbons, S.J., 2009, Palynological evidence of vegetation dynamics in response to palaeoenvironmental change across the onset of the Paleocene-Eocene Thermal Maximum at Cobham, Southern England: Grana, v. 48, p. 38–66, doi:10.1080/00173130802707980.</t>
  </si>
  <si>
    <t>Colosimo, A.B., Bralower, T.J., and Zachos, J.C., 2005, Evidence for lysocline shoaling at the Paleocene/Eocene Thermal Maximum on Shatsky Rise, northwest Pacific: Proceedings of the Ocean Drilling Program: Scientific Results, v. 198, doi:10.2973/odp.proc.sr.198.112.2006.</t>
  </si>
  <si>
    <t>Crouch, E.M., Brinkhuis, H., Visscher, H., Adatte, T., and Bolle, M.P., 2003a, Late Paleocene-early Eocene dinoflagellate cyst records from the Tethys: Further observations on the global distribution of Apectodinium: Special Paper of the Geological Society of America, v. 369, p. 113–131, doi:10.1130/0-8137-2369-8.113.</t>
  </si>
  <si>
    <t>Crouch, E.M., Dickens, G.R., Brinkhuis, H., Aubry, M.P., Hollis, C.J., Rogers, K.M., and Visscher, H., 2003b, The Apectodinium acme and terrestrial discharge during the Paleocene-Eocene thermal maximum: New palynological, geochemical and calcareous nannoplankton observations at Tawanui, New Zealand: Palaeogeography, Palaeoclimatology, Palaeoecology, v. 194, p. 387–403, doi:10.1016/S0031-0182(03)00334-1.</t>
  </si>
  <si>
    <t>Cunningham, R., Phillips, M.P., Snedden, J.W., Norton, I.O., Lowery, C.M., Virdell, J.W., Barrie, C.D., and Avery, A., 2022, Productivity and organic carbon trends through the Wilcox Group in the deep Gulf of Mexico: Evidence for ventilation during the Paleocene-Eocene Thermal Maximum: Marine and Petroleum Geology, doi:10.1016/j.marpetgeo.2022.105634</t>
  </si>
  <si>
    <t>Dechesne, M., Currano, E.D., Dunn, R.E., Higgins, P., Hartman, J.H., Chamberlain, K.R., and Holm-Denoma, C.S., 2020, A new stratigraphic framework and constraints for the position of the paleocene-eocene boundary in the rapidly subsiding Hanna Basin, Wyoming: Geosphere, v. 16, p. 594–618, doi:10.1130/GES02118.1.</t>
  </si>
  <si>
    <t>Demchuk, T.D., Denison, C.N., and O'Keefe, J.M.K., 2019, An integrated reevaluation of Wilcox/Carrizo stratigraphy, Bastrop County, Texas: Refined chronostratigraphic and revised paleoenvironments: Geological Problem Solving with Microfossils IV, SEPM Special Publication No. 111, p. 172-185.</t>
  </si>
  <si>
    <t>Denis, E.H., Pedentchouk, N., Schouten, S., Pagani, M., and Freeman, K.H., 2017, Fire and ecosystem change in the Arctic across the Paleocene–Eocene Thermal Maximum: Earth and Planetary Science Letters, v. 467, p. 149–156, doi:10.1016/j.epsl.2017.03.021.</t>
  </si>
  <si>
    <t>Dickson, A.J., Cohen, A.S., Coe, A.L., Davies, M., Shcherbinina, E.A., and Gavrilov, Y.O., 2015, Evidence for weathering and volcanism during the PETM from Arctic Ocean and Peri-Tethys osmium isotope records: Palaeogeography, Palaeoclimatology, Palaeoecology, v. 438, p. 300–307, doi:10.1016/j.palaeo.2015.08.019.</t>
  </si>
  <si>
    <t>Dupuis, C., Aubrey, M.-P.. Steurbaut, E., Berggren, W.A., Ouda, K., Magioncalda, R., Cramer, B.S., Kent, D.V., Speijer, R.P., and Heilmann-Clausen, C., 2003, The Dababiya Quarry Section: Lithostratigraphy, clay mineralogy, geochemistry and paleontology: Micropaleontology, v. 49, p. 41-59.</t>
  </si>
  <si>
    <t>Dypvik, H., Riber, L., Burca, F., Rüther, D., Jargvoll, D., 2011, The Paleocene-Eocene thermal maximum (PETM) in Svalbard - clay mineral and geochemical signals: Palaeogeography, Palaeoclimatology, and Palaeoecology, v. 302, p.152-169.</t>
  </si>
  <si>
    <t>Egger, H., Homayoun, M., Huber, H., Rögl, F., and Schmitz, B., 2005, Early Eocene climatic, volcanic, and biotic events in the northwestern Tethyan Untersberg section, Austria: Palaeogeography, Palaeoclimatology, Palaeoecology, v. 217, p. 243–264, doi:10.1016/j.palaeo.2004.12.006.</t>
  </si>
  <si>
    <t>Eldrett, J.S., Greenwood, D.R., Polling, M., Brinkhuis, H., and Sluijs, A., 2014, A seasonality trigger for carbon injection at the Paleocene-Eocene Thermal Maximum: Climate of the Past, v. 10, p. 759–769, doi:10.5194/cp-10-759-2014.</t>
  </si>
  <si>
    <t>Foreman, B.Z., 2014, Climate-driven generation of a fluvial sheet sand body at the Paleocene – Eocene boundary in northwest Wyoming (USA): Basin Research, v. 26, p. 225–241, doi:10.1111/bre.12027.</t>
  </si>
  <si>
    <t>Foreman, B.Z., Heller, P.L., and Clementz, M.T., 2012, Fluvial response to abrupt global warming at the Palaeocene/Eocene boundary: Nature, v. 490, p. 92–95, doi:10.1038/nature11513.</t>
  </si>
  <si>
    <t>Frieling, J., Iakovleva, A.I., Reichart, G.J., Aleksandrova, G.N., Gnibidenko, Z.N., Schouten, S., and Sluijs, A., 2014, Paleocene-Eocene warming and biotic response in the epicontinental West Siberian Sea: Geology, v. 42, p. 767–770, doi:10.1130/G35724.1.</t>
  </si>
  <si>
    <t>Garel, S. et al., 2013, Paleohydrological and paleoenvironmental changes recorded in terrestrial sediments of the Paleocene-Eocene boundary (Normandy, France): Palaeogeography, Palaeoclimatology, Palaeoecology, v. 376, p. 184–199, doi:10.1016/j.palaeo.2013.02.035.</t>
  </si>
  <si>
    <t>Gavrilov, Y.O., Kodina, L.A., Lubchenko, I.Y., and Muzylev, N.G., 1997, The Late Paleocene Anoxic Event in Epicontinental Seas of Peri-Tethys and Formation of the Sapropelite Unit: Sedimentology and Geochemistry: Lithology and Mineral Resources, v. 32, p. 427–450.</t>
  </si>
  <si>
    <t>Gavrilov, Y.O., Shcherbinina, E.A., and Oberhansli, H., 2003, Paleocene-Eocene boundary events in the northeastern Peri-Tethys: Geological Society of America Special Paper, v. 369, p. 147–168.</t>
  </si>
  <si>
    <t>Handley, L., Crouch, E.M., and Pancost, R.D., 2011, A New Zealand record of sea level rise and environmental change during the Paleocene-Eocene Thermal Maximum: Palaeogeography, Palaeoclimatology, Palaeoecology, v. 305, p. 185–200, doi:10.1016/j.palaeo.2011.03.001.</t>
  </si>
  <si>
    <t>Harding, I.C. et al., 2011, Sea-level and salinity fluctuations during the Paleocene-Eocene thermal maximum in Arctic Spitsbergen: Earth and Planetary Science Letters, v. 303, p. 97–107, doi:10.1016/j.epsl.2010.12.043.</t>
  </si>
  <si>
    <t>Harington, G.J., Clechenko, E.R., and Kelly, D.C., 2005, Palynology and organic-carbon isotope ratios across a terrestrial Palaeocene/Eocene boundary section in the Williston Basin, North Dakota, USA: Palaeogeography, Palaeoclimatology, Palaeoecology, v. 226, p. 214-232.</t>
  </si>
  <si>
    <t>Harrington, G.J., and Kemp, S.J., 2001, US Gulf Coast vegetation dynamics during the latest Palaeocene: Palaeogeography, Palaeoclimatology, Palaeoecology, v. 167, p. 1–21, doi:10.1016/S0031-0182(00)00228-5.</t>
  </si>
  <si>
    <t>Iakovleva, A.I., Brinkhuis, H., and Cavagnetto, C., 2001, Late Palaeocene-early Eocene dinoflagellate cysts from the Turgay Strait, Kazakhstan; correlations across ancient seaways: Palaeogeography, Palaeoclimatology, Palaeoecology, v. 172, p. 243–268, doi:10.1016/S0031-0182(01)00300-5.</t>
  </si>
  <si>
    <t>Jaramillo, C. et al., 2010, Effects of rapid global warming at the Paleocene-Eocene boundary on neotropical vegetation: Science, v. 330, p. 957–961, doi:10.1126/science.1193833.</t>
  </si>
  <si>
    <t>Jiang, S., and Wise, S.W., 2006, Surface-water chemistry and fertility variations in the tropical Atlantic across the Paleocene/Eocene Thermal Maximum as evidenced by calcareous nannoplankton from ODP Leg 207, Hole 1259B: Revue de Micropaleontologie, v. 49, p. 227–244, doi:10.1016/j.revmic.2006.10.002.</t>
  </si>
  <si>
    <t>Jiang, S., and Wise, S.W., Jr., 2009, Distinguishing the influence of diagenesis on the paleoecological reconstruction of nannoplankton across the Paleocene/Eocene Thermal Maximum: An example from the Kerguelen Plateau, southern Indian Ocean: Marine Micropaleontology, v. 72, p. 49-59.</t>
  </si>
  <si>
    <t>John, C.M., Bohaty, S.M., Zachos, J.C., Sluijs, A., Gibbs, S., Brinkhuis, H., and Bralower, T.J., 2008, North American continental margin records of the Paleocene-Eocene thermal maximum: Implications for global carbon and hydrological cycling: Paleoceanography, v. 23, p. 1–20, doi:10.1029/2007PA001465.</t>
  </si>
  <si>
    <t>Kaiho, K., Takeda, K., Petrizzo, M.R., and Zachos, J.C., 2006, Anomalous shifts in tropical Pacific planktonic and benthic foraminiferal test size during the Paleocene-Eocene thermal maximum: Palaeogeography, Palaeoclimatology, Palaeoecology, v. 237, p. 456–464, doi:10.1016/j.palaeo.2005.12.017.</t>
  </si>
  <si>
    <t>Kender, S., Stephenson, M.H., Riding, J.B., Leng, M.J., Knox, R.W.O.B., Peck, V.L., Kendrick, C.P., Ellis, M.A., Vane, C.H., and Jamieson, R., 2012, Marine and terrestrial environmental changes in NW Europe preceding carbon release at the Paleocene-Eocene transition: Earth and Planetary Science Letters, v. 353–354, p. 108–120, doi:10.1016/j.epsl.2012.08.011.</t>
  </si>
  <si>
    <t>Kennet, J.P., and Stott, L.D., 1991, Abrupt deep-sea warming, palaeoceanographic changes and benthic extinctions at the end of the Palaeocene: Nature, v. 353, p. 225-229.</t>
  </si>
  <si>
    <t>Khozyem, H., Adatte, T., Spangenberg, J.E., Tantawy, A.A., and Keller, G., 2013, Palaeoenvironmental and climatic changes during the Palaeocene-Eocene Thermal Maximum (PETM) at the Wadi Nukhul Section, Sinai, Egypt: Journal of the Geological Society, v. 170, p. 341–352, doi:10.1144/jgs2012-046.</t>
  </si>
  <si>
    <t>Koch, P.L., Clyde, W.C., Hepple, R.P., Fogel, M.L., Wing, S.L., Zachos, J.C., and Anonymous, 2003, Carbon and oxygen isotope records from Paleosols spanning the Paleocene-Eocene boundary, Bighorn Basin, Wyoming; Causes and consequences of globally warm climates in the early Paleogene: Causes and Consequences of Globally Warm Climates in the Early Paleogene, v. 369, p. 49–64.</t>
  </si>
  <si>
    <t>Kraus, M.J., and Riggins, S., 2007, Transient drying during the Paleocene-Eocene Thermal Maximum (PETM): Analysis of paleosols in the bighorn basin, Wyoming: Palaeogeography, Palaeoclimatology, Palaeoecology, v. 245, p. 444–461, doi:10.1016/j.palaeo.2006.09.011.</t>
  </si>
  <si>
    <t>Kraus, M.J., Woody, D.T., Smith, J.J., and Dukic, V., 2015, Alluvial response to the Paleocene-Eocene Thermal Maximum climatic event, Polecat Bench, Wyoming (U.S.A.): Palaeogeography, Palaeoclimatology, Palaeoecology, v. 435, p. 177–192, doi:10.1016/j.palaeo.2015.06.021.</t>
  </si>
  <si>
    <t>Krishnan, S., Pagani, M., and Agnini, C., 2015, Leaf waxes as recorders of paleoclimatic changes during the Paleocene-Eocene Thermal Maximum: Regional expressions from the Belluno Basin: Organic Geochemistry, v. 80, p. 8–17, doi:10.1016/j.orggeochem.2014.12.005.</t>
  </si>
  <si>
    <t>Larrasoaña, J.C., Roberts, A.P., Chang, L., Schellenberg, S.A., Fitz Gerald, J.D., Norris, R.D., and Zachos, J.C., 2012, Magnetotactic bacterial response to Antarctic dust supply during the Palaeocene-Eocene thermal maximum: Earth and Planetary Science Letters, v. 333–334, p. 122–133, doi:10.1016/j.epsl.2012.04.003.</t>
  </si>
  <si>
    <t>Lu, G., Keller, G., and Pardo, A., 1998, Stability and change in Tethyan planktic foraminifera across the Paleocene-Eocene transition: Marine Micropaleontology, v. 35, p. 203–233, doi:10.1016/S0377-8398(98)00018-8.</t>
  </si>
  <si>
    <t>Magioncalda, R., Dupuis, C., Blamart, D., Fairon-Demaret, M., Perreau, M., Renard, M., Riveline, J., Roche, M., and Keppens, E., 2001, L’excursion isotopique du carbone organique (δ13Corg) dans les paleoenvironnements continentaux de l’intervalle Paleocene/Eocene de Varangeville (Haute-Normandie): Bulletin de la Société Géologique de France, v. 172, p. 349–358.</t>
  </si>
  <si>
    <t>Morón, S., Fox, D.L., Feinberg, J.M., Jaramillo, C., Bayona, G., Montes, C., and Bloch, J.I., 2013, Climate change during the Early Paleogene in the Bogotá Basin (Colombia) inferred from paleosol carbon isotope stratigraphy, major oxides, and environmental magnetism: Palaeogeography, Palaeoclimatology, Palaeoecology, v. 388, p. 115–127, doi:10.1016/j.palaeo.2013.08.010.</t>
  </si>
  <si>
    <t>Mutterlose, J., Linnert, C., and Norris, R., 2007, Calcareous nannofossils from the Paleocene-Eocene Thermal Maximum of the equatorial Atlantic (ODP Site 1260B): Evidence for tropical warming: Marine Micropaleontology, v. 65, p. 13–31, doi:10.1016/j.marmicro.2007.05.004.</t>
  </si>
  <si>
    <t>Nace, K., and Spencer, P., 2019, Vegetation structure and lithology response to the Paleocene-Eocene thermal maximum in the Hanna Basin, Wyoming: Short Contributions Keck Geology Consortium, v. 32, p. 1–8, doi:10.18277/akrsg.2019.32.27.</t>
  </si>
  <si>
    <t>Nicolo, M.J., Dickens, G.R., and Hollis, C.J., 2010, South Pacific intermediate water oxygen depletion at the onset of the Paleocene-Eocene thermal maximum as depicted in New Zealand margin sections: Paleoceanography, v. 25, p. 1–12, doi:10.1029/2009PA001904.</t>
  </si>
  <si>
    <t>Nøhr-Hansen, H., 2003, Dinoflagellate cyst stratigraphy of the Palaeogene strata from the Hellefisk-1, Ikermiut-1, Kangâmiut-1, Nukik-1, Nukik-2 and Qulleq-1 wells, offshore West Greenland: v. 20, 987–1016 p., doi:10.1016/S0264-8172(02)00116-2.</t>
  </si>
  <si>
    <t>Pälike, C., Delaney, M.L., and Zachos, J.C., 2014, Deep-sea redox across the Paleocene-Eocene thermal maximum: Geochemistry, Geophysics, Geosystems, v. 15, p. 1038–1053, doi:10.1002/2013GC005074.Received.</t>
  </si>
  <si>
    <t>Pole, M., 2010, Ecology of paleocene-eocene vegetation at Kakahu,South Canterbury, New Zealand: Palaeontologia Electronica, v. 13, p. 1–29.</t>
  </si>
  <si>
    <t>Prasad, V., Garg, R., Singh, I.B., and Joachimski, M.M., 2006, Apectodinium acme and palynofacies characteristics in the latest Palaeocene-earliest Eocene of northeastern India: biotic response to the Palaeocene-Eocene thermal maxima (PETM) in low latitude: Journal of the Palaeontological Society of India, v. 51, p. 75–91.</t>
  </si>
  <si>
    <t>Pujalte, V., Baceta, J.I., and Schmitz, B., 2015, A massive input of coarse-grained siliciclastics in the Pyrenean Basin during the PETM: The missing ingredient in a coeval abrupt change in hydrological regime: Climate of the Past, v. 11, p. 1653–1672, doi:10.5194/cp-11-1653-2015.</t>
  </si>
  <si>
    <t>Pujalte, V., Robador, A., Payros, A., and Samsó, J.M., 2016, A siliciclastic braid delta within a lower Paleogene carbonate platform (Ordesa-Monte Perdido National Park, southern Pyrenees, Spain): Record of the Paleocene–Eocene Thermal Maximum perturbation: Palaeogeography, Palaeoclimatology, Palaeoecology, v. 459, p. 453–470, doi:10.1016/j.palaeo.2016.07.029.</t>
  </si>
  <si>
    <t>Raffi, I., Backman, J., and Pälike, H., 2005, Changes in calcareous nannofossil assemblages across the Paleocene/Eocene transition from the paleo-equatorial Pacific Ocean: Palaeogeography, Palaeoclimatology, Palaeoecology, v. 226, p. 93–126, doi:10.1016/j.palaeo.2005.05.006.</t>
  </si>
  <si>
    <t>Raffi, I., Backman, J., Zachos, J.C., and Sluijs, A., 2009, The response of calcareous nannofossil assemblages to the Paleocene Eocene Thermal Maximum at the Walvis Ridge in the South Atlantic: Marine Micropaleontology, v. 70, p. 201–212, doi:10.1016/j.marmicro.2008.12.005.</t>
  </si>
  <si>
    <t>Ravizza, G., Norris, R.N., and Blusztajn, J., 2001, As osmium isotope excursion associated with the late Paleocene thermal maximum: Evidence of intensified chemical weathering: Paleoceanography, v. 16, p. 155–163.</t>
  </si>
  <si>
    <t>Robert, C., and Chamley, H., 1991, Development of early Eocene warm climates, as inferred from clay mineral variations in oceanic sediments: Palaeogeography, Palaeoclimatology, Palaeoecology, v. 89, p. 315–331.</t>
  </si>
  <si>
    <t>Samanta, A., Bera, M.K., Ghosh, R., Bera, S., Filley, T., Pande, K., Rathore, S.S., Rai, J., and Sarkar, A., 2013, Do the large carbon isotopic excursions in terrestrial organic matter across Paleocene-Eocene boundary in India indicate intensification of tropical precipitation? Palaeogeography, Palaeoclimatology, Palaeoecology, v. 387, p. 91–103, doi:10.1016/j.palaeo.2013.07.008.</t>
  </si>
  <si>
    <t>Schmitz, B., and Pujalte, V., 2007, Abrupt increase in seasonal extreme precipitation at the Paleocene-Eocene boundary: Geology, v. 35, p. 215–218, doi:10.1130/G23261A.1.</t>
  </si>
  <si>
    <t>Schmitz, B., and Pujalte, V., 2003, Sea-level, humidity, and land-erosion records across the initial Eocene thermal maximum from a continental-marine transect in northern Spain: Geology, v. 31, p. 689–692, doi:10.1130/G19527.1.</t>
  </si>
  <si>
    <t>Schmitz, B., Pujalte, V., and Núñez-Betelu, K., 2001, Climate and sea-level perturbations during the Initial Eocene Thermal Maximum: Evidence from siliciclastic units in the Basque basin (Ermua, Zumaia and Trabakua Pass), northern Spain: Palaeogeography, Palaeoclimatology, Palaeoecology, v. 165, p. 299–320, doi:10.1016/S0031-0182(00)00167-X.</t>
  </si>
  <si>
    <t>Schoon, P.L., Heilmann-Clausen, C., Schultz, B.P., Sinninghe Damsté, J.S., and Schouten, S., 2015, Warming and environmental changes in the eastern North Sea Basin during the Palaeocene-Eocene Thermal Maximum as revealed by biomarker lipids: Organic Geochemistry, v. 78, p. 79–88, doi:10.1016/j.orggeochem.2014.11.003.</t>
  </si>
  <si>
    <t>Schulte, P., Scheibner, C., and Speijer, R.P., 2011, Fluvial discharge and sea-level changes controlling black shale deposition during the Paleocene-Eocene Thermal Maximum in the Dababiya Quarry section, Egypt: Chemical Geology, v. 285, p. 167–183, doi:10.1016/j.chemgeo.2011.04.004.</t>
  </si>
  <si>
    <t>Self-Trail, J.M., Powars, D.S., Watkins, D.K., and Wandless, G.A., 2012, Calcareous nannofossil assemblage changes across the Paleocene-Eocene Thermal Maximum: Evidence from a shelf setting: Marine Micropaleontology, v. 92–93, p. 61–80, doi:10.1016/j.marmicro.2012.05.003.</t>
  </si>
  <si>
    <t>Sluijs, A., Bijl, P.K., Schouten, S., Röhl, U., Reichart, G.J., and Brinkhuis, H., 2011, Southern ocean warming, sea level and hydrological change during the Paleocene-Eocene thermal maximum: Climate of the Past, v. 7, p. 47–61, doi:10.5194/cp-7-47-2011.</t>
  </si>
  <si>
    <t>Sluijs, A., Van Roij, L., Harrington, G.J., Schouten, S., Sessa, J.A., Levay, L.J., Reichart, G.J., and Slomp, C.P., 2014, Warming, euxinia and sea level rise during the Paleocene-Eocene Fhermal Maximum on the Gulf Coastal Plain: Implications for ocean oxygenation and nutrient cycling: Climate of the Past, v. 10, p. 1421–1439, doi:10.5194/cp-10-1421-2014.</t>
  </si>
  <si>
    <t>Smith, V. et al., 2020, Life and death in the Chicxulub impact crater: A record of the Paleocene-Eocene Thermal Maximum: Climate of the Past, v. 16, p. 1889–1899, doi:10.5194/cp-16-1889-2020.</t>
  </si>
  <si>
    <t>Stassen, P., Thomas, E., and Speijer, R.P., 2012, Integrated stratigraphy of the Paleocene-Eocene thermal maximum in the New Jersey Coastal Plain: Toward understanding the effects of global warming in a shelf environment: Paleoceanography, v. 27, p. 1–17, doi:10.1029/2012PA002323.</t>
  </si>
  <si>
    <t>Steurbaut, E., Magioncalda, R., Dupuis, C., Van Simaeys, S., Roche, E., and Roche, M., 2003, Palynology, paleoenvironments, and organic carbon isotope evolution in lagoonal Paleocene-Eocene boundary settings in North Belgium: Geological Society of America Special Paper, v. 369, p. 291–317.</t>
  </si>
  <si>
    <t>Tipple, B.J., Pagani, M., Krishnan, S., Dirghangi, S.S., Galeotti, S., Agnini, C., Giusberti, L., and Rio, D., 2011, Coupled high-resolution marine and terrestrial records of carbon and hydrologic cycles variations during the Paleocene-Eocene Thermal Maximum (PETM): Earth and Planetary Science Letters, v. 311, p. 82–92, doi:10.1016/j.epsl.2011.08.045.</t>
  </si>
  <si>
    <t>Tremolada, F., and Bralower, T.J., 2004, Nannofossil assemblage fluctuations during the Paleocene-Eocene Thermal Maximum at Sites 213 (Indian Ocean) and 401 (North Atlantic Ocean): Palaeoceanographic implications: Marine Micropaleontology, v. 52, p. 107–116, doi:10.1016/j.marmicro.2004.04.002.</t>
  </si>
  <si>
    <t>VanDeVelde, J.H., Bowen, G.J., Passey, B.H., and Bowen, B.B., 2013, Climatic and diagenetic signals in the stable isotope geochemistry of dolomitic paleosols spanning the Paleocene-Eocene boundary: Geochimica et Cosmochimica Acta, v. 109, p. 254–267, doi:10.1016/j.gca.2013.02.005.</t>
  </si>
  <si>
    <t>Whalen, M.T., Gulick, S.S.P., Pearson, Z.F., Norris, R.D., Cruz, L.P., and Fucugauchi, J.U., 2013, Annealing the Chicxulub impact: Paleogene Yucatan carbonate slope development in the Chicxulub impact basin, Mexcio: SEPM Special Publication, v. 105, p. 282–304.</t>
  </si>
  <si>
    <t>White, P.D., and Schiebout, J., 2008, Paleogene paleosols and changes in pedogenesis during the initial Eocene thermal maximum: Big Bend National Park, Texas, USA: Bulletin of the Geological Society of America, v. 120, p. 1347–1361, doi:10.1130/B25987.1.</t>
  </si>
  <si>
    <t>Wieczorek, R., Fantle, M.S., Kump, L.R., and Ravizza, G., 2013, Geochemical evidence for volcanic activity prior to and enhanced terrestrial weathering during the paleocene eocene thermal maximum: Geochimica et Cosmochimica Acta, v. 119, p. 391–410, doi:10.1016/j.gca.2013.06.005.</t>
  </si>
  <si>
    <t>Wing, S.L., Harrington, G.J., Smith, F. a, Bloch, J.I., Boyer, D.M., and Freeman, K.H., 2005, Transient floral change and rapid global warming at the Paleocene-Eocene boundary: Science, v. 310, p. 993–996.</t>
  </si>
  <si>
    <t>Zachos, J.C. et al., 2005, Rapid acidification of the ocean during the Paleocean-Eocene Thermal Maximum: Science, v. 308, p. 1611–1615, doi:10.1126/science.1109004.</t>
  </si>
  <si>
    <t>Zarra, L., Hackworth, R., and Kahn, A., 2019, Wilcox chronostratigraphic framework update: extended abstract from poster presentation given at AAPG 2019 Annual Convention &amp; Exhibition, doi:10.1306/51616Zarra2019</t>
  </si>
  <si>
    <t>Sharman et al. (2022)</t>
  </si>
  <si>
    <t>Dzhengutay</t>
  </si>
  <si>
    <t>Highway 16, Bighorn Basin</t>
  </si>
  <si>
    <t>Chixulub impact crater, Yucatán, Mexico</t>
  </si>
  <si>
    <t>ODP Site 871, Limalok Guyot</t>
  </si>
  <si>
    <t>ODP Site 738, Kerguelan Plateau</t>
  </si>
  <si>
    <t>Depositional environment</t>
  </si>
  <si>
    <t>Deep-marine submarine fan, presumably similar to Well 221/20a-4</t>
  </si>
  <si>
    <t>Near-coastal (but freshwater) lacustrine/mire deposit</t>
  </si>
  <si>
    <t>Open marine (possibly neritic?), connected to Tethys</t>
  </si>
  <si>
    <t>Water depth deepens to middle shelf during/after the PETM</t>
  </si>
  <si>
    <t>Open marine, near or below the lysocline</t>
  </si>
  <si>
    <t>Deep-water, downslope environments</t>
  </si>
  <si>
    <t>Open ocean (pelgaic). Uncertain paleo-water depth.</t>
  </si>
  <si>
    <t>Isolated platform in ocean open, relatively shallow water depths (between present day of 1567 m and 600-1200 m in Late Cretaceous)</t>
  </si>
  <si>
    <t>Well-bedded gray mudstone, becoming laminated mudstone upwards</t>
  </si>
  <si>
    <t>Mudstone, with sandstone within the main body of the CIE, followed by laminated mudstones at the end of the CIE and following</t>
  </si>
  <si>
    <t>Glauconitic sands and silts</t>
  </si>
  <si>
    <t>Succession generally composed of nannofossil chalk, siliceous ooze, and claystone</t>
  </si>
  <si>
    <t>Carbonate-rich (N90%) nannofossil and foraminiferal ooze</t>
  </si>
  <si>
    <t>Very thin PETM interval, denoted by a sapropelitic unit</t>
  </si>
  <si>
    <t>Decrease in grain size. Change from Glauconitic fine-medium sand to clay.</t>
  </si>
  <si>
    <t>PETM seems to be associated with a modest decrease in grain size (grey shale and lignitic shale) replacing sandy silt</t>
  </si>
  <si>
    <t>Transition from nannofossil chalk to clay, followed by a return to calcareous and nannofossil chalk</t>
  </si>
  <si>
    <t>Non-calcareous shale and mudstone with interbedded coal and silt/sand transition into marine mudstone during the PETM. Return to terrestrial deposition (sandstone-dominated) following CIE.</t>
  </si>
  <si>
    <t>CIE truncated?</t>
  </si>
  <si>
    <t>Upper PETM is missing (Temolada and Bralower, 2004)</t>
  </si>
  <si>
    <t>Thickness based on calcareous nannofossil event and excursion taxa; CIE not available. Considered reliable PETM pick.</t>
  </si>
  <si>
    <t>Bolle et al. (2000b) Fig. 4</t>
  </si>
  <si>
    <t>Thickness taken from abstract. Unconformity truncates CIE.</t>
  </si>
  <si>
    <t>Onset CIE to H correlation</t>
  </si>
  <si>
    <t>References</t>
  </si>
  <si>
    <t>Cunningham interpreted a PETM thickness (221.6 m) based on calcareous nannofossil event and excursion taxa; CIE not available. Considered reliable PETM pick.</t>
  </si>
  <si>
    <t>Increase in shale deposition after a lag during the CIE main body. Resumption of shale and sand deposition during CIE recovery.</t>
  </si>
  <si>
    <t>Vimpere et al. (2023) Fig. 2; Cunningham et al. (2022) Table S1</t>
  </si>
  <si>
    <t>Siliciclatic shale, siltstone, and sandstone</t>
  </si>
  <si>
    <t>Vimpere, L., Spangenberg, J.E., Roige, M., Adatte, T., De Kaenel, E., Fildani, A., Clark, J., Sahoo, S., Bowman, A., Sternal., P., and Castelltort, S.: Carbon isotope and biostratigraphic evidence for an expanded Paleocene-Eocene Thermal Maximum sedimentary record in the deep Gulf of Mexico, Geology, https://doi.org/10.1130/G50641.1, 2023.</t>
  </si>
  <si>
    <t>Sharman, G. R., Covault, J. A., Flaig, P. P., Dunn, R., Fussee-Durham, P., Larson, T., Shanahan, T. M., Dubois, K., Shaw, J. B., Crowley, J. L., and Shaulis, B.: Coastal Response to Global Warming During the Paleocene-Eocene Thermal Maximum, journal pre-print, available at SSRN: http://dx.doi.org/10.2139/ssrn.4200185.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</si>
</sst>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0"/>
      <color rgb="FF000000"/>
      <name val="Arial"/>
      <scheme val="minor"/>
    </font>
    <font>
      <b/>
      <sz val="10"/>
      <color rgb="FF000000"/>
      <name val="Times New Roman"/>
      <family val="1"/>
    </font>
    <font>
      <sz val="10"/>
      <color theme="1"/>
      <name val="Times New Roman"/>
      <family val="1"/>
    </font>
    <font>
      <sz val="10"/>
      <color rgb="FF000000"/>
      <name val="Times New Roman"/>
      <family val="1"/>
    </font>
    <font>
      <sz val="12"/>
      <color theme="1"/>
      <name val="Calibri"/>
      <family val="2"/>
    </font>
    <font>
      <sz val="10"/>
      <color theme="1"/>
      <name val="Arial"/>
      <family val="2"/>
    </font>
    <font>
      <b/>
      <sz val="10"/>
      <color theme="1"/>
      <name val="Times New Roman"/>
      <family val="1"/>
    </font>
    <font>
      <sz val="10"/>
      <color rgb="FF000000"/>
      <name val="Tahoma"/>
      <family val="2"/>
    </font>
  </fonts>
  <fills count="5">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FFFF00"/>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8">
    <xf numFmtId="0" fontId="0" fillId="0" borderId="0" xfId="0"/>
    <xf numFmtId="0" fontId="2" fillId="0" borderId="0" xfId="0" applyFont="1"/>
    <xf numFmtId="0" fontId="3" fillId="0" borderId="1" xfId="0" applyFont="1" applyBorder="1" applyAlignment="1">
      <alignment horizontal="center" vertical="top" wrapText="1"/>
    </xf>
    <xf numFmtId="0" fontId="3" fillId="0" borderId="1" xfId="0" applyFont="1" applyBorder="1" applyAlignment="1">
      <alignment horizontal="center" vertical="top"/>
    </xf>
    <xf numFmtId="164" fontId="3" fillId="0" borderId="1" xfId="0" applyNumberFormat="1" applyFont="1" applyBorder="1" applyAlignment="1">
      <alignment horizontal="center" vertical="top" wrapText="1"/>
    </xf>
    <xf numFmtId="0" fontId="3" fillId="3" borderId="1" xfId="0" applyFont="1" applyFill="1" applyBorder="1" applyAlignment="1">
      <alignment horizontal="center" vertical="top" wrapText="1"/>
    </xf>
    <xf numFmtId="0" fontId="4" fillId="0" borderId="0" xfId="0" applyFont="1"/>
    <xf numFmtId="0" fontId="5" fillId="0" borderId="0" xfId="0" applyFont="1"/>
    <xf numFmtId="0" fontId="1" fillId="0" borderId="1" xfId="0" applyFont="1" applyBorder="1" applyAlignment="1">
      <alignment horizontal="center" vertical="top" wrapText="1"/>
    </xf>
    <xf numFmtId="0" fontId="1" fillId="0" borderId="1" xfId="0" applyFont="1" applyBorder="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0" fillId="0" borderId="0" xfId="0" applyAlignment="1">
      <alignment wrapText="1"/>
    </xf>
    <xf numFmtId="0" fontId="6" fillId="0" borderId="0" xfId="0" applyFont="1" applyAlignment="1">
      <alignment horizontal="left" wrapText="1"/>
    </xf>
    <xf numFmtId="0" fontId="3" fillId="0" borderId="0" xfId="0" applyFont="1" applyAlignment="1">
      <alignment horizontal="center" vertical="top" wrapText="1"/>
    </xf>
    <xf numFmtId="0" fontId="1" fillId="2" borderId="0" xfId="0" applyFont="1" applyFill="1" applyAlignment="1">
      <alignment horizontal="center" vertical="top" wrapText="1"/>
    </xf>
    <xf numFmtId="0" fontId="0" fillId="0" borderId="0" xfId="0" applyAlignment="1">
      <alignment wrapText="1"/>
    </xf>
    <xf numFmtId="0" fontId="3" fillId="4" borderId="1"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alcChain" Target="calcChain.xml"/><Relationship Id="rId10" Type="http://schemas.microsoft.com/office/2017/10/relationships/person" Target="persons/person.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Glenn R. Sharman" id="{71649B1D-D914-0E49-8587-C87ED5C8BFAC}" userId="S::gsharman@uark.edu::552f2bc2-51c7-47c4-b5fc-5b543e95695b" providerId="AD"/>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22" dT="2023-06-26T15:21:05.46" personId="{71649B1D-D914-0E49-8587-C87ED5C8BFAC}" id="{C21ABD78-96FA-1341-B01B-D64C707124AB}">
    <text>Changed from positive to negative</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Y329"/>
  <sheetViews>
    <sheetView tabSelected="1" topLeftCell="G1" zoomScale="75" workbookViewId="0">
      <selection activeCell="L11" sqref="L11"/>
    </sheetView>
  </sheetViews>
  <sheetFormatPr baseColWidth="10" defaultColWidth="12.6640625" defaultRowHeight="13" x14ac:dyDescent="0.15"/>
  <cols>
    <col min="1" max="1" width="12.6640625" style="12" customWidth="1"/>
    <col min="2" max="2" width="31.1640625" style="12" bestFit="1" customWidth="1"/>
    <col min="3" max="3" width="29.33203125" style="12" bestFit="1" customWidth="1"/>
    <col min="4" max="6" width="12.6640625" style="12" customWidth="1"/>
    <col min="7" max="7" width="12.6640625" style="12"/>
    <col min="8" max="8" width="52.1640625" style="12" customWidth="1"/>
    <col min="9" max="9" width="19" style="12" customWidth="1"/>
    <col min="10" max="10" width="12.6640625" style="12" customWidth="1"/>
    <col min="11" max="11" width="52.1640625" style="12" customWidth="1"/>
    <col min="12" max="12" width="83.1640625" style="12" customWidth="1"/>
    <col min="13" max="13" width="23.83203125" style="12" customWidth="1"/>
    <col min="14" max="14" width="5.83203125" style="12" customWidth="1"/>
    <col min="15" max="15" width="12.6640625" style="12"/>
    <col min="16" max="16" width="25.1640625" style="12" customWidth="1"/>
    <col min="17" max="17" width="75.5" style="12" customWidth="1"/>
  </cols>
  <sheetData>
    <row r="1" spans="1:25" x14ac:dyDescent="0.15">
      <c r="A1" s="15" t="s">
        <v>0</v>
      </c>
      <c r="B1" s="16"/>
      <c r="C1" s="16"/>
      <c r="D1" s="16"/>
      <c r="E1" s="16"/>
      <c r="F1" s="16"/>
      <c r="G1" s="16"/>
      <c r="H1" s="16"/>
      <c r="I1" s="16"/>
      <c r="J1" s="16"/>
      <c r="K1" s="16"/>
      <c r="L1" s="16"/>
      <c r="M1" s="16"/>
      <c r="N1" s="16"/>
      <c r="O1" s="16"/>
      <c r="P1" s="16"/>
      <c r="Q1" s="16"/>
      <c r="R1" s="1"/>
      <c r="S1" s="1"/>
      <c r="T1" s="1"/>
      <c r="U1" s="1"/>
      <c r="V1" s="1"/>
      <c r="W1" s="1"/>
      <c r="X1" s="1"/>
      <c r="Y1" s="1"/>
    </row>
    <row r="2" spans="1:25" ht="28" x14ac:dyDescent="0.15">
      <c r="A2" s="8" t="s">
        <v>1</v>
      </c>
      <c r="B2" s="8" t="s">
        <v>2</v>
      </c>
      <c r="C2" s="8" t="s">
        <v>3</v>
      </c>
      <c r="D2" s="8" t="s">
        <v>4</v>
      </c>
      <c r="E2" s="8" t="s">
        <v>5</v>
      </c>
      <c r="F2" s="8" t="s">
        <v>6</v>
      </c>
      <c r="G2" s="8" t="s">
        <v>7</v>
      </c>
      <c r="H2" s="9" t="s">
        <v>664</v>
      </c>
      <c r="I2" s="9" t="s">
        <v>8</v>
      </c>
      <c r="J2" s="9" t="s">
        <v>9</v>
      </c>
      <c r="K2" s="9" t="s">
        <v>10</v>
      </c>
      <c r="L2" s="9" t="s">
        <v>11</v>
      </c>
      <c r="M2" s="9" t="s">
        <v>12</v>
      </c>
      <c r="N2" s="9" t="s">
        <v>13</v>
      </c>
      <c r="O2" s="9" t="s">
        <v>683</v>
      </c>
      <c r="P2" s="9" t="s">
        <v>14</v>
      </c>
      <c r="Q2" s="9" t="s">
        <v>15</v>
      </c>
      <c r="R2" s="1"/>
      <c r="S2" s="1"/>
      <c r="T2" s="1"/>
      <c r="U2" s="1"/>
      <c r="V2" s="1"/>
      <c r="W2" s="1"/>
      <c r="X2" s="1"/>
      <c r="Y2" s="1"/>
    </row>
    <row r="3" spans="1:25" ht="28" x14ac:dyDescent="0.15">
      <c r="A3" s="2">
        <v>1</v>
      </c>
      <c r="B3" s="2" t="s">
        <v>16</v>
      </c>
      <c r="C3" s="2" t="s">
        <v>17</v>
      </c>
      <c r="D3" s="2">
        <v>87.87</v>
      </c>
      <c r="E3" s="2">
        <v>136.18</v>
      </c>
      <c r="F3" s="2">
        <v>81.453437649999998</v>
      </c>
      <c r="G3" s="2">
        <v>43.876949279999998</v>
      </c>
      <c r="H3" s="2" t="s">
        <v>18</v>
      </c>
      <c r="I3" s="2" t="s">
        <v>19</v>
      </c>
      <c r="J3" s="2" t="s">
        <v>20</v>
      </c>
      <c r="K3" s="2" t="s">
        <v>21</v>
      </c>
      <c r="L3" s="2" t="s">
        <v>22</v>
      </c>
      <c r="M3" s="4" t="s">
        <v>23</v>
      </c>
      <c r="N3" s="4">
        <f>73.702/173.8423*16</f>
        <v>6.7833432944686072</v>
      </c>
      <c r="O3" s="2"/>
      <c r="P3" s="2" t="s">
        <v>24</v>
      </c>
      <c r="Q3" s="2" t="s">
        <v>25</v>
      </c>
      <c r="R3" s="1"/>
      <c r="S3" s="1"/>
      <c r="T3" s="1"/>
      <c r="U3" s="1"/>
      <c r="V3" s="1"/>
      <c r="W3" s="1"/>
      <c r="X3" s="1"/>
      <c r="Y3" s="1"/>
    </row>
    <row r="4" spans="1:25" ht="28" x14ac:dyDescent="0.15">
      <c r="A4" s="2">
        <v>2</v>
      </c>
      <c r="B4" s="2" t="s">
        <v>26</v>
      </c>
      <c r="C4" s="2" t="s">
        <v>27</v>
      </c>
      <c r="D4" s="2">
        <v>78.22</v>
      </c>
      <c r="E4" s="2">
        <v>15.63</v>
      </c>
      <c r="F4" s="2">
        <v>73.511603440000002</v>
      </c>
      <c r="G4" s="2">
        <v>9.1846933400000008</v>
      </c>
      <c r="H4" s="2" t="s">
        <v>28</v>
      </c>
      <c r="I4" s="2" t="s">
        <v>19</v>
      </c>
      <c r="J4" s="2" t="s">
        <v>20</v>
      </c>
      <c r="K4" s="2" t="s">
        <v>29</v>
      </c>
      <c r="L4" s="2" t="s">
        <v>30</v>
      </c>
      <c r="M4" s="4" t="s">
        <v>31</v>
      </c>
      <c r="N4" s="4">
        <v>14</v>
      </c>
      <c r="O4" s="2"/>
      <c r="P4" s="2" t="s">
        <v>32</v>
      </c>
      <c r="Q4" s="2" t="s">
        <v>33</v>
      </c>
      <c r="R4" s="1"/>
      <c r="S4" s="1"/>
      <c r="T4" s="1"/>
      <c r="U4" s="1"/>
      <c r="V4" s="1"/>
      <c r="W4" s="1"/>
      <c r="X4" s="1"/>
      <c r="Y4" s="1"/>
    </row>
    <row r="5" spans="1:25" ht="42" x14ac:dyDescent="0.15">
      <c r="A5" s="2">
        <v>3</v>
      </c>
      <c r="B5" s="2" t="s">
        <v>34</v>
      </c>
      <c r="C5" s="2" t="s">
        <v>27</v>
      </c>
      <c r="D5" s="2">
        <v>77.83</v>
      </c>
      <c r="E5" s="2">
        <v>16.5</v>
      </c>
      <c r="F5" s="2">
        <v>73.138116109999999</v>
      </c>
      <c r="G5" s="2">
        <v>9.9255197709999994</v>
      </c>
      <c r="H5" s="2" t="s">
        <v>35</v>
      </c>
      <c r="I5" s="2" t="s">
        <v>36</v>
      </c>
      <c r="J5" s="2" t="s">
        <v>20</v>
      </c>
      <c r="K5" s="2" t="s">
        <v>37</v>
      </c>
      <c r="L5" s="2" t="s">
        <v>30</v>
      </c>
      <c r="M5" s="4" t="s">
        <v>31</v>
      </c>
      <c r="N5" s="4">
        <f>70/195.6965*157.2919</f>
        <v>56.26279979457987</v>
      </c>
      <c r="O5" s="2"/>
      <c r="P5" s="2" t="s">
        <v>38</v>
      </c>
      <c r="Q5" s="2" t="s">
        <v>39</v>
      </c>
      <c r="R5" s="1"/>
      <c r="S5" s="1"/>
      <c r="T5" s="1"/>
      <c r="U5" s="1"/>
      <c r="V5" s="1"/>
      <c r="W5" s="1"/>
      <c r="X5" s="1"/>
      <c r="Y5" s="1"/>
    </row>
    <row r="6" spans="1:25" ht="28" x14ac:dyDescent="0.15">
      <c r="A6" s="2">
        <v>4</v>
      </c>
      <c r="B6" s="2" t="s">
        <v>40</v>
      </c>
      <c r="C6" s="2" t="s">
        <v>41</v>
      </c>
      <c r="D6" s="2">
        <v>66.930000000000007</v>
      </c>
      <c r="E6" s="2">
        <v>-56.58</v>
      </c>
      <c r="F6" s="2">
        <v>61.037241260000002</v>
      </c>
      <c r="G6" s="2">
        <v>-30.91791495</v>
      </c>
      <c r="H6" s="2" t="s">
        <v>42</v>
      </c>
      <c r="I6" s="2" t="s">
        <v>19</v>
      </c>
      <c r="J6" s="2" t="s">
        <v>43</v>
      </c>
      <c r="K6" s="2"/>
      <c r="L6" s="2"/>
      <c r="M6" s="4"/>
      <c r="N6" s="4"/>
      <c r="O6" s="2"/>
      <c r="P6" s="2" t="s">
        <v>44</v>
      </c>
      <c r="Q6" s="2" t="s">
        <v>45</v>
      </c>
      <c r="R6" s="1"/>
      <c r="S6" s="1"/>
      <c r="T6" s="1"/>
      <c r="U6" s="1"/>
      <c r="V6" s="1"/>
      <c r="W6" s="1"/>
      <c r="X6" s="1"/>
      <c r="Y6" s="1"/>
    </row>
    <row r="7" spans="1:25" ht="28" x14ac:dyDescent="0.15">
      <c r="A7" s="2">
        <v>5</v>
      </c>
      <c r="B7" s="2" t="s">
        <v>46</v>
      </c>
      <c r="C7" s="2" t="s">
        <v>47</v>
      </c>
      <c r="D7" s="2">
        <v>57.73</v>
      </c>
      <c r="E7" s="2">
        <v>1.83</v>
      </c>
      <c r="F7" s="2">
        <v>52.888804960000002</v>
      </c>
      <c r="G7" s="2">
        <v>-0.28275779000000001</v>
      </c>
      <c r="H7" s="2" t="s">
        <v>48</v>
      </c>
      <c r="I7" s="2" t="s">
        <v>49</v>
      </c>
      <c r="J7" s="2" t="s">
        <v>20</v>
      </c>
      <c r="K7" s="2" t="s">
        <v>673</v>
      </c>
      <c r="L7" s="2" t="s">
        <v>50</v>
      </c>
      <c r="M7" s="4" t="s">
        <v>31</v>
      </c>
      <c r="N7" s="4">
        <f>14/4.1565*2.423</f>
        <v>8.1611933116805009</v>
      </c>
      <c r="O7" s="2" t="s">
        <v>51</v>
      </c>
      <c r="P7" s="2" t="s">
        <v>52</v>
      </c>
      <c r="Q7" s="2" t="s">
        <v>53</v>
      </c>
      <c r="R7" s="1"/>
      <c r="S7" s="1"/>
      <c r="T7" s="1"/>
      <c r="U7" s="1"/>
      <c r="V7" s="1"/>
      <c r="W7" s="1"/>
      <c r="X7" s="1"/>
      <c r="Y7" s="1"/>
    </row>
    <row r="8" spans="1:25" ht="28" x14ac:dyDescent="0.15">
      <c r="A8" s="2">
        <v>6</v>
      </c>
      <c r="B8" s="2" t="s">
        <v>54</v>
      </c>
      <c r="C8" s="2" t="s">
        <v>47</v>
      </c>
      <c r="D8" s="2">
        <v>57.65</v>
      </c>
      <c r="E8" s="2">
        <v>1.1299999999999999</v>
      </c>
      <c r="F8" s="2">
        <v>52.807007050000003</v>
      </c>
      <c r="G8" s="2">
        <v>-0.90163512499999998</v>
      </c>
      <c r="H8" s="2" t="s">
        <v>665</v>
      </c>
      <c r="I8" s="2" t="s">
        <v>49</v>
      </c>
      <c r="J8" s="2" t="s">
        <v>20</v>
      </c>
      <c r="K8" s="2" t="s">
        <v>674</v>
      </c>
      <c r="L8" s="2" t="s">
        <v>55</v>
      </c>
      <c r="M8" s="4" t="s">
        <v>56</v>
      </c>
      <c r="N8" s="4">
        <f>80/4.1198*2.5618</f>
        <v>49.746104179814559</v>
      </c>
      <c r="O8" s="2" t="s">
        <v>51</v>
      </c>
      <c r="P8" s="2" t="s">
        <v>57</v>
      </c>
      <c r="Q8" s="2" t="s">
        <v>58</v>
      </c>
      <c r="R8" s="1"/>
      <c r="S8" s="1"/>
      <c r="T8" s="1"/>
      <c r="U8" s="1"/>
      <c r="V8" s="1"/>
      <c r="W8" s="1"/>
      <c r="X8" s="1"/>
      <c r="Y8" s="1"/>
    </row>
    <row r="9" spans="1:25" ht="28" x14ac:dyDescent="0.15">
      <c r="A9" s="2">
        <v>7</v>
      </c>
      <c r="B9" s="2" t="s">
        <v>59</v>
      </c>
      <c r="C9" s="2" t="s">
        <v>60</v>
      </c>
      <c r="D9" s="2">
        <v>56.83</v>
      </c>
      <c r="E9" s="2">
        <v>9.01</v>
      </c>
      <c r="F9" s="2">
        <v>52.044292669999997</v>
      </c>
      <c r="G9" s="2">
        <v>6.1070827520000002</v>
      </c>
      <c r="H9" s="2" t="s">
        <v>61</v>
      </c>
      <c r="I9" s="2" t="s">
        <v>36</v>
      </c>
      <c r="J9" s="2" t="s">
        <v>20</v>
      </c>
      <c r="K9" s="2" t="s">
        <v>62</v>
      </c>
      <c r="L9" s="2" t="s">
        <v>63</v>
      </c>
      <c r="M9" s="4" t="s">
        <v>31</v>
      </c>
      <c r="N9" s="4"/>
      <c r="O9" s="2"/>
      <c r="P9" s="2" t="s">
        <v>64</v>
      </c>
      <c r="Q9" s="2" t="s">
        <v>65</v>
      </c>
      <c r="R9" s="1"/>
      <c r="S9" s="1"/>
      <c r="T9" s="1"/>
      <c r="U9" s="1"/>
      <c r="V9" s="1"/>
      <c r="W9" s="1"/>
      <c r="X9" s="1"/>
      <c r="Y9" s="1"/>
    </row>
    <row r="10" spans="1:25" ht="28" x14ac:dyDescent="0.15">
      <c r="A10" s="2">
        <v>8</v>
      </c>
      <c r="B10" s="2" t="s">
        <v>66</v>
      </c>
      <c r="C10" s="2" t="s">
        <v>60</v>
      </c>
      <c r="D10" s="2">
        <f>55+21/60</f>
        <v>55.35</v>
      </c>
      <c r="E10" s="2">
        <f>11+5/60</f>
        <v>11.083333333333334</v>
      </c>
      <c r="F10" s="2">
        <v>50.593329400000002</v>
      </c>
      <c r="G10" s="2">
        <v>8.0156801420000008</v>
      </c>
      <c r="H10" s="2" t="s">
        <v>67</v>
      </c>
      <c r="I10" s="2" t="s">
        <v>36</v>
      </c>
      <c r="J10" s="2" t="s">
        <v>20</v>
      </c>
      <c r="K10" s="2" t="s">
        <v>62</v>
      </c>
      <c r="L10" s="2" t="s">
        <v>63</v>
      </c>
      <c r="M10" s="4" t="s">
        <v>31</v>
      </c>
      <c r="N10" s="4">
        <f>14/2.2202*1.0746</f>
        <v>6.7761462931267449</v>
      </c>
      <c r="O10" s="2"/>
      <c r="P10" s="2" t="s">
        <v>68</v>
      </c>
      <c r="Q10" s="2" t="s">
        <v>69</v>
      </c>
      <c r="R10" s="1"/>
      <c r="S10" s="1"/>
      <c r="T10" s="1"/>
      <c r="U10" s="1"/>
      <c r="V10" s="1"/>
      <c r="W10" s="1"/>
      <c r="X10" s="1"/>
      <c r="Y10" s="1"/>
    </row>
    <row r="11" spans="1:25" ht="28" x14ac:dyDescent="0.15">
      <c r="A11" s="2">
        <v>9</v>
      </c>
      <c r="B11" s="2" t="s">
        <v>70</v>
      </c>
      <c r="C11" s="2" t="s">
        <v>71</v>
      </c>
      <c r="D11" s="2">
        <v>53.5</v>
      </c>
      <c r="E11" s="2">
        <v>73.53</v>
      </c>
      <c r="F11" s="2">
        <v>51.920436780000003</v>
      </c>
      <c r="G11" s="2">
        <v>65.662429160000002</v>
      </c>
      <c r="H11" s="2" t="s">
        <v>72</v>
      </c>
      <c r="I11" s="2" t="s">
        <v>19</v>
      </c>
      <c r="J11" s="2" t="s">
        <v>20</v>
      </c>
      <c r="K11" s="2" t="s">
        <v>73</v>
      </c>
      <c r="L11" s="2" t="s">
        <v>678</v>
      </c>
      <c r="M11" s="4" t="s">
        <v>31</v>
      </c>
      <c r="N11" s="4">
        <v>0.6</v>
      </c>
      <c r="O11" s="2" t="s">
        <v>51</v>
      </c>
      <c r="P11" s="2" t="s">
        <v>74</v>
      </c>
      <c r="Q11" s="2" t="s">
        <v>75</v>
      </c>
      <c r="R11" s="1"/>
      <c r="S11" s="1"/>
      <c r="T11" s="1"/>
      <c r="U11" s="1"/>
      <c r="V11" s="1"/>
      <c r="W11" s="1"/>
      <c r="X11" s="1"/>
      <c r="Y11" s="1"/>
    </row>
    <row r="12" spans="1:25" ht="28" x14ac:dyDescent="0.15">
      <c r="A12" s="2">
        <v>10</v>
      </c>
      <c r="B12" s="2" t="s">
        <v>76</v>
      </c>
      <c r="C12" s="2" t="s">
        <v>77</v>
      </c>
      <c r="D12" s="2">
        <v>52.97</v>
      </c>
      <c r="E12" s="2">
        <v>63.46</v>
      </c>
      <c r="F12" s="2">
        <v>50.635986129999999</v>
      </c>
      <c r="G12" s="2">
        <v>56.21113605</v>
      </c>
      <c r="H12" s="2" t="s">
        <v>78</v>
      </c>
      <c r="I12" s="2" t="s">
        <v>19</v>
      </c>
      <c r="J12" s="2" t="s">
        <v>20</v>
      </c>
      <c r="K12" s="2"/>
      <c r="L12" s="2"/>
      <c r="M12" s="4"/>
      <c r="N12" s="4"/>
      <c r="O12" s="2"/>
      <c r="P12" s="2" t="s">
        <v>79</v>
      </c>
      <c r="Q12" s="2" t="s">
        <v>80</v>
      </c>
      <c r="R12" s="1"/>
      <c r="S12" s="1"/>
      <c r="T12" s="1"/>
      <c r="U12" s="1"/>
      <c r="V12" s="1"/>
      <c r="W12" s="1"/>
      <c r="X12" s="1"/>
      <c r="Y12" s="1"/>
    </row>
    <row r="13" spans="1:25" ht="14" x14ac:dyDescent="0.15">
      <c r="A13" s="2">
        <v>11</v>
      </c>
      <c r="B13" s="2" t="s">
        <v>81</v>
      </c>
      <c r="C13" s="2" t="s">
        <v>82</v>
      </c>
      <c r="D13" s="2">
        <v>51.4</v>
      </c>
      <c r="E13" s="2">
        <v>0.41</v>
      </c>
      <c r="F13" s="2">
        <v>46.555836450000001</v>
      </c>
      <c r="G13" s="2">
        <v>-1.5190373210000001</v>
      </c>
      <c r="H13" s="2" t="s">
        <v>666</v>
      </c>
      <c r="I13" s="2" t="s">
        <v>83</v>
      </c>
      <c r="J13" s="2" t="s">
        <v>20</v>
      </c>
      <c r="K13" s="2"/>
      <c r="L13" s="2"/>
      <c r="M13" s="4"/>
      <c r="N13" s="4"/>
      <c r="O13" s="2"/>
      <c r="P13" s="2" t="s">
        <v>84</v>
      </c>
      <c r="Q13" s="2" t="s">
        <v>85</v>
      </c>
      <c r="R13" s="1"/>
      <c r="S13" s="1"/>
      <c r="T13" s="1"/>
      <c r="U13" s="1"/>
      <c r="V13" s="1"/>
      <c r="W13" s="1"/>
      <c r="X13" s="1"/>
      <c r="Y13" s="1"/>
    </row>
    <row r="14" spans="1:25" ht="28" x14ac:dyDescent="0.15">
      <c r="A14" s="2">
        <v>12</v>
      </c>
      <c r="B14" s="2" t="s">
        <v>86</v>
      </c>
      <c r="C14" s="2" t="s">
        <v>87</v>
      </c>
      <c r="D14" s="2">
        <v>51.25</v>
      </c>
      <c r="E14" s="2">
        <v>4.2699999999999996</v>
      </c>
      <c r="F14" s="2">
        <v>46.420447580000001</v>
      </c>
      <c r="G14" s="2">
        <v>1.98552068</v>
      </c>
      <c r="H14" s="2" t="s">
        <v>88</v>
      </c>
      <c r="I14" s="2" t="s">
        <v>83</v>
      </c>
      <c r="J14" s="2" t="s">
        <v>20</v>
      </c>
      <c r="K14" s="2" t="s">
        <v>89</v>
      </c>
      <c r="L14" s="2" t="s">
        <v>90</v>
      </c>
      <c r="M14" s="4" t="s">
        <v>31</v>
      </c>
      <c r="N14" s="4">
        <f>20/4.5333*5.5663</f>
        <v>24.557386451370967</v>
      </c>
      <c r="O14" s="2"/>
      <c r="P14" s="2" t="s">
        <v>91</v>
      </c>
      <c r="Q14" s="2" t="s">
        <v>92</v>
      </c>
      <c r="R14" s="1"/>
      <c r="S14" s="1"/>
      <c r="T14" s="1"/>
      <c r="U14" s="1"/>
      <c r="V14" s="1"/>
      <c r="W14" s="1"/>
      <c r="X14" s="1"/>
      <c r="Y14" s="1"/>
    </row>
    <row r="15" spans="1:25" ht="28" x14ac:dyDescent="0.15">
      <c r="A15" s="2">
        <v>13</v>
      </c>
      <c r="B15" s="2" t="s">
        <v>93</v>
      </c>
      <c r="C15" s="2" t="s">
        <v>87</v>
      </c>
      <c r="D15" s="2">
        <v>51.24</v>
      </c>
      <c r="E15" s="2">
        <v>4.3</v>
      </c>
      <c r="F15" s="2">
        <v>46.410639619999998</v>
      </c>
      <c r="G15" s="2">
        <v>2.0129069830000001</v>
      </c>
      <c r="H15" s="2" t="s">
        <v>88</v>
      </c>
      <c r="I15" s="2" t="s">
        <v>83</v>
      </c>
      <c r="J15" s="2" t="s">
        <v>20</v>
      </c>
      <c r="K15" s="2" t="s">
        <v>89</v>
      </c>
      <c r="L15" s="2" t="s">
        <v>90</v>
      </c>
      <c r="M15" s="4" t="s">
        <v>31</v>
      </c>
      <c r="N15" s="4">
        <f>20/4.5333*5.607</f>
        <v>24.736946595195555</v>
      </c>
      <c r="O15" s="2"/>
      <c r="P15" s="2" t="s">
        <v>91</v>
      </c>
      <c r="Q15" s="2"/>
      <c r="R15" s="1"/>
      <c r="S15" s="1"/>
      <c r="T15" s="1"/>
      <c r="U15" s="1"/>
      <c r="V15" s="1"/>
      <c r="W15" s="1"/>
      <c r="X15" s="1"/>
      <c r="Y15" s="1"/>
    </row>
    <row r="16" spans="1:25" ht="28" x14ac:dyDescent="0.15">
      <c r="A16" s="2">
        <v>14</v>
      </c>
      <c r="B16" s="2" t="s">
        <v>94</v>
      </c>
      <c r="C16" s="2" t="s">
        <v>95</v>
      </c>
      <c r="D16" s="2">
        <v>49.91</v>
      </c>
      <c r="E16" s="2">
        <v>0.96</v>
      </c>
      <c r="F16" s="2">
        <v>45.06670785</v>
      </c>
      <c r="G16" s="2">
        <v>-1.013481568</v>
      </c>
      <c r="H16" s="2" t="s">
        <v>96</v>
      </c>
      <c r="I16" s="2" t="s">
        <v>83</v>
      </c>
      <c r="J16" s="2" t="s">
        <v>20</v>
      </c>
      <c r="K16" s="2" t="s">
        <v>97</v>
      </c>
      <c r="L16" s="2"/>
      <c r="M16" s="4" t="s">
        <v>23</v>
      </c>
      <c r="N16" s="4">
        <f>1.5/5.5417*1.8056</f>
        <v>0.48873089485176036</v>
      </c>
      <c r="O16" s="2"/>
      <c r="P16" s="2" t="s">
        <v>98</v>
      </c>
      <c r="Q16" s="2"/>
      <c r="R16" s="1"/>
      <c r="S16" s="1"/>
      <c r="T16" s="1"/>
      <c r="U16" s="1"/>
      <c r="V16" s="1"/>
      <c r="W16" s="1"/>
      <c r="X16" s="1"/>
      <c r="Y16" s="1"/>
    </row>
    <row r="17" spans="1:25" ht="28" x14ac:dyDescent="0.15">
      <c r="A17" s="2">
        <v>15</v>
      </c>
      <c r="B17" s="2" t="s">
        <v>99</v>
      </c>
      <c r="C17" s="2" t="s">
        <v>95</v>
      </c>
      <c r="D17" s="2">
        <v>49.53</v>
      </c>
      <c r="E17" s="2">
        <v>1.04</v>
      </c>
      <c r="F17" s="2">
        <v>44.686869989999998</v>
      </c>
      <c r="G17" s="2">
        <v>-0.93883090899999999</v>
      </c>
      <c r="H17" s="2" t="s">
        <v>100</v>
      </c>
      <c r="I17" s="2" t="s">
        <v>83</v>
      </c>
      <c r="J17" s="2" t="s">
        <v>20</v>
      </c>
      <c r="K17" s="2" t="s">
        <v>101</v>
      </c>
      <c r="L17" s="2" t="s">
        <v>102</v>
      </c>
      <c r="M17" s="4" t="s">
        <v>23</v>
      </c>
      <c r="N17" s="4">
        <f>5/236.7692*53.2066</f>
        <v>1.1235963123581951</v>
      </c>
      <c r="O17" s="2"/>
      <c r="P17" s="2" t="s">
        <v>103</v>
      </c>
      <c r="Q17" s="2" t="s">
        <v>104</v>
      </c>
      <c r="R17" s="1"/>
      <c r="S17" s="1"/>
      <c r="T17" s="1"/>
      <c r="U17" s="1"/>
      <c r="V17" s="1"/>
      <c r="W17" s="1"/>
      <c r="X17" s="1"/>
      <c r="Y17" s="1"/>
    </row>
    <row r="18" spans="1:25" ht="28" x14ac:dyDescent="0.15">
      <c r="A18" s="2">
        <v>16</v>
      </c>
      <c r="B18" s="2" t="s">
        <v>105</v>
      </c>
      <c r="C18" s="2" t="s">
        <v>106</v>
      </c>
      <c r="D18" s="2">
        <v>49.09</v>
      </c>
      <c r="E18" s="2">
        <v>-13.1</v>
      </c>
      <c r="F18" s="2">
        <v>44.352090259999997</v>
      </c>
      <c r="G18" s="2">
        <v>-13.868939599999999</v>
      </c>
      <c r="H18" s="2" t="s">
        <v>107</v>
      </c>
      <c r="I18" s="2" t="s">
        <v>49</v>
      </c>
      <c r="J18" s="2" t="s">
        <v>108</v>
      </c>
      <c r="K18" s="2" t="s">
        <v>109</v>
      </c>
      <c r="L18" s="2" t="s">
        <v>110</v>
      </c>
      <c r="M18" s="4" t="s">
        <v>111</v>
      </c>
      <c r="N18" s="4">
        <f>5/4.5306*1.9706</f>
        <v>2.1747671390102861</v>
      </c>
      <c r="O18" s="2"/>
      <c r="P18" s="2" t="s">
        <v>112</v>
      </c>
      <c r="Q18" s="2"/>
      <c r="R18" s="1"/>
      <c r="S18" s="1"/>
      <c r="T18" s="1"/>
      <c r="U18" s="1"/>
      <c r="V18" s="1"/>
      <c r="W18" s="1"/>
      <c r="X18" s="1"/>
      <c r="Y18" s="1"/>
    </row>
    <row r="19" spans="1:25" ht="14" x14ac:dyDescent="0.15">
      <c r="A19" s="2">
        <v>17</v>
      </c>
      <c r="B19" s="2" t="s">
        <v>113</v>
      </c>
      <c r="C19" s="2" t="s">
        <v>114</v>
      </c>
      <c r="D19" s="2">
        <v>47.88</v>
      </c>
      <c r="E19" s="2">
        <v>13.02</v>
      </c>
      <c r="F19" s="2">
        <v>38.7395019</v>
      </c>
      <c r="G19" s="2">
        <v>12.612082409999999</v>
      </c>
      <c r="H19" s="2" t="s">
        <v>115</v>
      </c>
      <c r="I19" s="2" t="s">
        <v>49</v>
      </c>
      <c r="J19" s="2" t="s">
        <v>108</v>
      </c>
      <c r="K19" s="2"/>
      <c r="L19" s="2"/>
      <c r="M19" s="4"/>
      <c r="N19" s="4"/>
      <c r="O19" s="2"/>
      <c r="P19" s="2" t="s">
        <v>116</v>
      </c>
      <c r="Q19" s="2" t="s">
        <v>117</v>
      </c>
      <c r="R19" s="1"/>
      <c r="S19" s="1"/>
      <c r="T19" s="1"/>
      <c r="U19" s="1"/>
      <c r="V19" s="1"/>
      <c r="W19" s="1"/>
      <c r="X19" s="1"/>
      <c r="Y19" s="1"/>
    </row>
    <row r="20" spans="1:25" ht="28" x14ac:dyDescent="0.15">
      <c r="A20" s="2">
        <v>18</v>
      </c>
      <c r="B20" s="2" t="s">
        <v>118</v>
      </c>
      <c r="C20" s="2" t="s">
        <v>114</v>
      </c>
      <c r="D20" s="2">
        <v>47.72</v>
      </c>
      <c r="E20" s="2">
        <v>12.92</v>
      </c>
      <c r="F20" s="2">
        <v>38.592287949999999</v>
      </c>
      <c r="G20" s="2">
        <v>12.494421109999999</v>
      </c>
      <c r="H20" s="2" t="s">
        <v>115</v>
      </c>
      <c r="I20" s="2" t="s">
        <v>49</v>
      </c>
      <c r="J20" s="2" t="s">
        <v>108</v>
      </c>
      <c r="K20" s="2" t="s">
        <v>119</v>
      </c>
      <c r="L20" s="2" t="s">
        <v>120</v>
      </c>
      <c r="M20" s="4" t="s">
        <v>111</v>
      </c>
      <c r="N20" s="4">
        <f>40/397.7191*63.1828</f>
        <v>6.354515033348914</v>
      </c>
      <c r="O20" s="2"/>
      <c r="P20" s="2" t="s">
        <v>116</v>
      </c>
      <c r="Q20" s="2"/>
      <c r="R20" s="1"/>
      <c r="S20" s="1"/>
      <c r="T20" s="1"/>
      <c r="U20" s="1"/>
      <c r="V20" s="1"/>
      <c r="W20" s="1"/>
      <c r="X20" s="1"/>
      <c r="Y20" s="1"/>
    </row>
    <row r="21" spans="1:25" ht="28" x14ac:dyDescent="0.15">
      <c r="A21" s="2">
        <v>19</v>
      </c>
      <c r="B21" s="2" t="s">
        <v>121</v>
      </c>
      <c r="C21" s="2" t="s">
        <v>122</v>
      </c>
      <c r="D21" s="2">
        <v>47.4</v>
      </c>
      <c r="E21" s="2">
        <v>-8.81</v>
      </c>
      <c r="F21" s="2">
        <v>42.602106460000002</v>
      </c>
      <c r="G21" s="2">
        <v>-9.982279514</v>
      </c>
      <c r="H21" s="2" t="s">
        <v>123</v>
      </c>
      <c r="I21" s="2" t="s">
        <v>49</v>
      </c>
      <c r="J21" s="2" t="s">
        <v>108</v>
      </c>
      <c r="K21" s="2" t="s">
        <v>124</v>
      </c>
      <c r="L21" s="2" t="s">
        <v>125</v>
      </c>
      <c r="M21" s="4" t="s">
        <v>111</v>
      </c>
      <c r="N21" s="4">
        <f>4/2.7342*1.2083</f>
        <v>1.7676834174530027</v>
      </c>
      <c r="O21" s="2" t="s">
        <v>51</v>
      </c>
      <c r="P21" s="2" t="s">
        <v>126</v>
      </c>
      <c r="Q21" s="2" t="s">
        <v>684</v>
      </c>
      <c r="R21" s="1"/>
      <c r="S21" s="1"/>
      <c r="T21" s="1"/>
      <c r="U21" s="1"/>
      <c r="V21" s="1"/>
      <c r="W21" s="1"/>
      <c r="X21" s="1"/>
      <c r="Y21" s="1"/>
    </row>
    <row r="22" spans="1:25" ht="28" x14ac:dyDescent="0.15">
      <c r="A22" s="2">
        <v>20</v>
      </c>
      <c r="B22" s="2" t="s">
        <v>127</v>
      </c>
      <c r="C22" s="2" t="s">
        <v>128</v>
      </c>
      <c r="D22" s="2">
        <v>47.39</v>
      </c>
      <c r="E22" s="17">
        <v>-103.25</v>
      </c>
      <c r="F22" s="17">
        <v>48.325150520000001</v>
      </c>
      <c r="G22" s="17">
        <v>96.146061610000004</v>
      </c>
      <c r="H22" s="2" t="s">
        <v>129</v>
      </c>
      <c r="I22" s="2" t="s">
        <v>130</v>
      </c>
      <c r="J22" s="2" t="s">
        <v>20</v>
      </c>
      <c r="K22" s="2" t="s">
        <v>131</v>
      </c>
      <c r="L22" s="2" t="s">
        <v>132</v>
      </c>
      <c r="M22" s="4" t="s">
        <v>56</v>
      </c>
      <c r="N22" s="4">
        <f>2.0469/4.6209*10</f>
        <v>4.4296565604103098</v>
      </c>
      <c r="O22" s="2"/>
      <c r="P22" s="2" t="s">
        <v>133</v>
      </c>
      <c r="Q22" s="2"/>
      <c r="R22" s="1"/>
      <c r="S22" s="1"/>
      <c r="T22" s="1"/>
      <c r="U22" s="1"/>
      <c r="V22" s="1"/>
      <c r="W22" s="1"/>
      <c r="X22" s="1"/>
      <c r="Y22" s="1"/>
    </row>
    <row r="23" spans="1:25" ht="28" x14ac:dyDescent="0.15">
      <c r="A23" s="2">
        <v>21</v>
      </c>
      <c r="B23" s="2" t="s">
        <v>134</v>
      </c>
      <c r="C23" s="2" t="s">
        <v>128</v>
      </c>
      <c r="D23" s="2">
        <v>46.92</v>
      </c>
      <c r="E23" s="2">
        <v>-102.11</v>
      </c>
      <c r="F23" s="2">
        <v>51.264409120000003</v>
      </c>
      <c r="G23" s="2">
        <v>-82.251174160000005</v>
      </c>
      <c r="H23" s="2" t="s">
        <v>129</v>
      </c>
      <c r="I23" s="2" t="s">
        <v>130</v>
      </c>
      <c r="J23" s="2" t="s">
        <v>20</v>
      </c>
      <c r="K23" s="2" t="s">
        <v>135</v>
      </c>
      <c r="L23" s="2" t="s">
        <v>136</v>
      </c>
      <c r="M23" s="4" t="s">
        <v>56</v>
      </c>
      <c r="N23" s="4">
        <f>20/245.4153*46.5557</f>
        <v>3.7940340312930778</v>
      </c>
      <c r="O23" s="2"/>
      <c r="P23" s="5" t="s">
        <v>137</v>
      </c>
      <c r="Q23" s="2"/>
      <c r="R23" s="1"/>
      <c r="S23" s="1"/>
      <c r="T23" s="1"/>
      <c r="U23" s="1"/>
      <c r="V23" s="1"/>
      <c r="W23" s="1"/>
      <c r="X23" s="1"/>
      <c r="Y23" s="1"/>
    </row>
    <row r="24" spans="1:25" ht="28" x14ac:dyDescent="0.15">
      <c r="A24" s="2">
        <v>22</v>
      </c>
      <c r="B24" s="2" t="s">
        <v>138</v>
      </c>
      <c r="C24" s="2" t="s">
        <v>139</v>
      </c>
      <c r="D24" s="2">
        <v>46.06</v>
      </c>
      <c r="E24" s="2">
        <v>12.24</v>
      </c>
      <c r="F24" s="2">
        <v>37.027431190000001</v>
      </c>
      <c r="G24" s="2">
        <v>11.579219</v>
      </c>
      <c r="H24" s="2" t="s">
        <v>140</v>
      </c>
      <c r="I24" s="2" t="s">
        <v>49</v>
      </c>
      <c r="J24" s="2" t="s">
        <v>108</v>
      </c>
      <c r="K24" s="2" t="s">
        <v>141</v>
      </c>
      <c r="L24" s="2" t="s">
        <v>142</v>
      </c>
      <c r="M24" s="4" t="s">
        <v>111</v>
      </c>
      <c r="N24" s="4">
        <f>10/133.6815*40.2375</f>
        <v>3.0099527608532219</v>
      </c>
      <c r="O24" s="2"/>
      <c r="P24" s="2" t="s">
        <v>143</v>
      </c>
      <c r="Q24" s="2"/>
      <c r="R24" s="1"/>
      <c r="S24" s="1"/>
      <c r="T24" s="1"/>
      <c r="U24" s="1"/>
      <c r="V24" s="1"/>
      <c r="W24" s="1"/>
      <c r="X24" s="1"/>
      <c r="Y24" s="1"/>
    </row>
    <row r="25" spans="1:25" ht="28" x14ac:dyDescent="0.15">
      <c r="A25" s="2">
        <v>23</v>
      </c>
      <c r="B25" s="2" t="s">
        <v>144</v>
      </c>
      <c r="C25" s="2" t="s">
        <v>139</v>
      </c>
      <c r="D25" s="2">
        <v>46.04</v>
      </c>
      <c r="E25" s="2">
        <v>12.07</v>
      </c>
      <c r="F25" s="2">
        <v>37.026436019999998</v>
      </c>
      <c r="G25" s="2">
        <v>11.429330159999999</v>
      </c>
      <c r="H25" s="2" t="s">
        <v>140</v>
      </c>
      <c r="I25" s="2" t="s">
        <v>49</v>
      </c>
      <c r="J25" s="2" t="s">
        <v>108</v>
      </c>
      <c r="K25" s="2" t="s">
        <v>141</v>
      </c>
      <c r="L25" s="2" t="s">
        <v>145</v>
      </c>
      <c r="M25" s="4" t="s">
        <v>111</v>
      </c>
      <c r="N25" s="4">
        <f>5/227.551*196.9388</f>
        <v>4.327355186309882</v>
      </c>
      <c r="O25" s="2"/>
      <c r="P25" s="2" t="s">
        <v>146</v>
      </c>
      <c r="Q25" s="2"/>
      <c r="R25" s="1"/>
      <c r="S25" s="1"/>
      <c r="T25" s="1"/>
      <c r="U25" s="1"/>
      <c r="V25" s="1"/>
      <c r="W25" s="1"/>
      <c r="X25" s="1"/>
      <c r="Y25" s="1"/>
    </row>
    <row r="26" spans="1:25" ht="28" x14ac:dyDescent="0.15">
      <c r="A26" s="2">
        <v>24</v>
      </c>
      <c r="B26" s="2" t="s">
        <v>147</v>
      </c>
      <c r="C26" s="2" t="s">
        <v>139</v>
      </c>
      <c r="D26" s="2">
        <v>45.83</v>
      </c>
      <c r="E26" s="2">
        <v>11.5</v>
      </c>
      <c r="F26" s="2">
        <v>36.882558760000002</v>
      </c>
      <c r="G26" s="2">
        <v>10.897604579999999</v>
      </c>
      <c r="H26" s="2" t="s">
        <v>140</v>
      </c>
      <c r="I26" s="2" t="s">
        <v>49</v>
      </c>
      <c r="J26" s="2" t="s">
        <v>108</v>
      </c>
      <c r="K26" s="2" t="s">
        <v>148</v>
      </c>
      <c r="L26" s="2" t="s">
        <v>149</v>
      </c>
      <c r="M26" s="4" t="s">
        <v>111</v>
      </c>
      <c r="N26" s="4">
        <f>1/72.9373*31.9239</f>
        <v>0.4376896320538326</v>
      </c>
      <c r="O26" s="2"/>
      <c r="P26" s="2" t="s">
        <v>150</v>
      </c>
      <c r="Q26" s="2" t="s">
        <v>151</v>
      </c>
      <c r="R26" s="1"/>
      <c r="S26" s="1"/>
      <c r="T26" s="1"/>
      <c r="U26" s="1"/>
      <c r="V26" s="1"/>
      <c r="W26" s="1"/>
      <c r="X26" s="1"/>
      <c r="Y26" s="1"/>
    </row>
    <row r="27" spans="1:25" ht="14" x14ac:dyDescent="0.15">
      <c r="A27" s="2">
        <v>25</v>
      </c>
      <c r="B27" s="2" t="s">
        <v>152</v>
      </c>
      <c r="C27" s="2" t="s">
        <v>157</v>
      </c>
      <c r="D27" s="2">
        <v>44.76</v>
      </c>
      <c r="E27" s="2">
        <v>-108.89</v>
      </c>
      <c r="F27" s="2">
        <v>50.120347340000002</v>
      </c>
      <c r="G27" s="2">
        <v>-90.249454950000001</v>
      </c>
      <c r="H27" s="2" t="s">
        <v>153</v>
      </c>
      <c r="I27" s="2" t="s">
        <v>130</v>
      </c>
      <c r="J27" s="2" t="s">
        <v>20</v>
      </c>
      <c r="K27" s="2"/>
      <c r="L27" s="2"/>
      <c r="M27" s="4" t="s">
        <v>154</v>
      </c>
      <c r="N27" s="4">
        <f>1000/259.382*26.3816</f>
        <v>101.70944784140764</v>
      </c>
      <c r="O27" s="2"/>
      <c r="P27" s="2" t="s">
        <v>155</v>
      </c>
      <c r="Q27" s="2"/>
      <c r="R27" s="1"/>
      <c r="S27" s="1"/>
      <c r="T27" s="1"/>
      <c r="U27" s="1"/>
      <c r="V27" s="1"/>
      <c r="W27" s="1"/>
      <c r="X27" s="1"/>
      <c r="Y27" s="1"/>
    </row>
    <row r="28" spans="1:25" ht="14" x14ac:dyDescent="0.15">
      <c r="A28" s="2">
        <v>26</v>
      </c>
      <c r="B28" s="2" t="s">
        <v>156</v>
      </c>
      <c r="C28" s="2" t="s">
        <v>157</v>
      </c>
      <c r="D28" s="2">
        <v>44.76</v>
      </c>
      <c r="E28" s="2">
        <v>-108.89</v>
      </c>
      <c r="F28" s="2">
        <v>50.120347340000002</v>
      </c>
      <c r="G28" s="2">
        <v>-90.249454950000001</v>
      </c>
      <c r="H28" s="2" t="s">
        <v>153</v>
      </c>
      <c r="I28" s="2" t="s">
        <v>130</v>
      </c>
      <c r="J28" s="2" t="s">
        <v>20</v>
      </c>
      <c r="K28" s="2" t="s">
        <v>158</v>
      </c>
      <c r="L28" s="2" t="s">
        <v>159</v>
      </c>
      <c r="M28" s="4" t="s">
        <v>23</v>
      </c>
      <c r="N28" s="4">
        <v>56.340132699999998</v>
      </c>
      <c r="O28" s="2"/>
      <c r="P28" s="2" t="s">
        <v>160</v>
      </c>
      <c r="Q28" s="2"/>
      <c r="R28" s="1"/>
      <c r="S28" s="1"/>
      <c r="T28" s="1"/>
      <c r="U28" s="1"/>
      <c r="V28" s="1"/>
      <c r="W28" s="1"/>
      <c r="X28" s="1"/>
      <c r="Y28" s="1"/>
    </row>
    <row r="29" spans="1:25" ht="28" x14ac:dyDescent="0.15">
      <c r="A29" s="2">
        <v>27</v>
      </c>
      <c r="B29" s="2" t="s">
        <v>161</v>
      </c>
      <c r="C29" s="2" t="s">
        <v>162</v>
      </c>
      <c r="D29" s="2">
        <v>44.62</v>
      </c>
      <c r="E29" s="2">
        <v>58.33</v>
      </c>
      <c r="F29" s="2">
        <v>41.97218239</v>
      </c>
      <c r="G29" s="2">
        <v>52.657158539999998</v>
      </c>
      <c r="H29" s="2" t="s">
        <v>163</v>
      </c>
      <c r="I29" s="2" t="s">
        <v>19</v>
      </c>
      <c r="J29" s="2" t="s">
        <v>108</v>
      </c>
      <c r="K29" s="2" t="s">
        <v>164</v>
      </c>
      <c r="L29" s="2" t="s">
        <v>165</v>
      </c>
      <c r="M29" s="4" t="s">
        <v>111</v>
      </c>
      <c r="N29" s="4">
        <f>2/1.4318*0.7205</f>
        <v>1.0064254784187736</v>
      </c>
      <c r="O29" s="2"/>
      <c r="P29" s="2" t="s">
        <v>166</v>
      </c>
      <c r="Q29" s="2"/>
      <c r="R29" s="1"/>
      <c r="S29" s="1"/>
      <c r="T29" s="1"/>
      <c r="U29" s="1"/>
      <c r="V29" s="1"/>
      <c r="W29" s="1"/>
      <c r="X29" s="1"/>
      <c r="Y29" s="1"/>
    </row>
    <row r="30" spans="1:25" ht="28" x14ac:dyDescent="0.15">
      <c r="A30" s="2">
        <v>28</v>
      </c>
      <c r="B30" s="2" t="s">
        <v>167</v>
      </c>
      <c r="C30" s="2" t="s">
        <v>77</v>
      </c>
      <c r="D30" s="2">
        <v>44.25</v>
      </c>
      <c r="E30" s="2">
        <v>52.32</v>
      </c>
      <c r="F30" s="2">
        <v>41.2031274</v>
      </c>
      <c r="G30" s="2">
        <v>46.990960479999998</v>
      </c>
      <c r="H30" s="2" t="s">
        <v>168</v>
      </c>
      <c r="I30" s="2" t="s">
        <v>19</v>
      </c>
      <c r="J30" s="2" t="s">
        <v>43</v>
      </c>
      <c r="K30" s="2"/>
      <c r="L30" s="2"/>
      <c r="M30" s="4"/>
      <c r="N30" s="4"/>
      <c r="O30" s="2"/>
      <c r="P30" s="2" t="s">
        <v>169</v>
      </c>
      <c r="Q30" s="2" t="s">
        <v>80</v>
      </c>
      <c r="R30" s="1"/>
      <c r="S30" s="1"/>
      <c r="T30" s="1"/>
      <c r="U30" s="1"/>
      <c r="V30" s="1"/>
      <c r="W30" s="1"/>
      <c r="X30" s="1"/>
      <c r="Y30" s="1"/>
    </row>
    <row r="31" spans="1:25" ht="14" x14ac:dyDescent="0.15">
      <c r="A31" s="2">
        <v>29</v>
      </c>
      <c r="B31" s="2" t="s">
        <v>170</v>
      </c>
      <c r="C31" s="2" t="s">
        <v>157</v>
      </c>
      <c r="D31" s="2">
        <v>44.16</v>
      </c>
      <c r="E31" s="2">
        <v>-107.85</v>
      </c>
      <c r="F31" s="2">
        <v>49.387820640000001</v>
      </c>
      <c r="G31" s="2">
        <v>-89.302367759999996</v>
      </c>
      <c r="H31" s="2" t="s">
        <v>129</v>
      </c>
      <c r="I31" s="2" t="s">
        <v>130</v>
      </c>
      <c r="J31" s="2" t="s">
        <v>20</v>
      </c>
      <c r="K31" s="2"/>
      <c r="L31" s="2"/>
      <c r="M31" s="4"/>
      <c r="N31" s="4"/>
      <c r="O31" s="2" t="s">
        <v>51</v>
      </c>
      <c r="P31" s="2" t="s">
        <v>171</v>
      </c>
      <c r="Q31" s="2" t="s">
        <v>172</v>
      </c>
      <c r="R31" s="1"/>
      <c r="S31" s="1"/>
      <c r="T31" s="1"/>
      <c r="U31" s="1"/>
      <c r="V31" s="1"/>
      <c r="W31" s="1"/>
      <c r="X31" s="1"/>
      <c r="Y31" s="1"/>
    </row>
    <row r="32" spans="1:25" ht="28" x14ac:dyDescent="0.15">
      <c r="A32" s="2">
        <v>30</v>
      </c>
      <c r="B32" s="2" t="s">
        <v>660</v>
      </c>
      <c r="C32" s="2" t="s">
        <v>157</v>
      </c>
      <c r="D32" s="2">
        <v>44.02</v>
      </c>
      <c r="E32" s="2">
        <v>-107.73</v>
      </c>
      <c r="F32" s="2">
        <v>49.233778229999999</v>
      </c>
      <c r="G32" s="2">
        <v>-89.21426031</v>
      </c>
      <c r="H32" s="2" t="s">
        <v>153</v>
      </c>
      <c r="I32" s="2" t="s">
        <v>130</v>
      </c>
      <c r="J32" s="2" t="s">
        <v>20</v>
      </c>
      <c r="K32" s="2" t="s">
        <v>173</v>
      </c>
      <c r="L32" s="2" t="s">
        <v>132</v>
      </c>
      <c r="M32" s="4" t="s">
        <v>56</v>
      </c>
      <c r="N32" s="4">
        <v>54.412328500000001</v>
      </c>
      <c r="O32" s="2"/>
      <c r="P32" s="2" t="s">
        <v>174</v>
      </c>
      <c r="Q32" s="2"/>
      <c r="R32" s="1"/>
      <c r="S32" s="1"/>
      <c r="T32" s="1"/>
      <c r="U32" s="1"/>
      <c r="V32" s="1"/>
      <c r="W32" s="1"/>
      <c r="X32" s="1"/>
      <c r="Y32" s="1"/>
    </row>
    <row r="33" spans="1:25" ht="14" x14ac:dyDescent="0.15">
      <c r="A33" s="2">
        <v>31</v>
      </c>
      <c r="B33" s="2" t="s">
        <v>175</v>
      </c>
      <c r="C33" s="2" t="s">
        <v>157</v>
      </c>
      <c r="D33" s="2">
        <v>43.96</v>
      </c>
      <c r="E33" s="2">
        <v>-107.65</v>
      </c>
      <c r="F33" s="2">
        <v>49.16377456</v>
      </c>
      <c r="G33" s="2">
        <v>-89.145610289999993</v>
      </c>
      <c r="H33" s="2" t="s">
        <v>153</v>
      </c>
      <c r="I33" s="2" t="s">
        <v>130</v>
      </c>
      <c r="J33" s="2" t="s">
        <v>20</v>
      </c>
      <c r="K33" s="2" t="s">
        <v>158</v>
      </c>
      <c r="L33" s="2" t="s">
        <v>176</v>
      </c>
      <c r="M33" s="4" t="s">
        <v>154</v>
      </c>
      <c r="N33" s="4">
        <f>100/361.8046*209.5009</f>
        <v>57.904432392512419</v>
      </c>
      <c r="O33" s="2"/>
      <c r="P33" s="2" t="s">
        <v>177</v>
      </c>
      <c r="Q33" s="2"/>
      <c r="R33" s="1"/>
      <c r="S33" s="1"/>
      <c r="T33" s="1"/>
      <c r="U33" s="1"/>
      <c r="V33" s="1"/>
      <c r="W33" s="1"/>
      <c r="X33" s="1"/>
      <c r="Y33" s="1"/>
    </row>
    <row r="34" spans="1:25" ht="28" x14ac:dyDescent="0.15">
      <c r="A34" s="2">
        <v>32</v>
      </c>
      <c r="B34" s="2" t="s">
        <v>178</v>
      </c>
      <c r="C34" s="2" t="s">
        <v>179</v>
      </c>
      <c r="D34" s="2">
        <v>43.63</v>
      </c>
      <c r="E34" s="2">
        <v>39.5</v>
      </c>
      <c r="F34" s="2">
        <v>39.843940629999999</v>
      </c>
      <c r="G34" s="2">
        <v>34.953779249999997</v>
      </c>
      <c r="H34" s="2" t="s">
        <v>163</v>
      </c>
      <c r="I34" s="2" t="s">
        <v>19</v>
      </c>
      <c r="J34" s="2" t="s">
        <v>108</v>
      </c>
      <c r="K34" s="2" t="s">
        <v>180</v>
      </c>
      <c r="L34" s="2" t="s">
        <v>181</v>
      </c>
      <c r="M34" s="4" t="s">
        <v>111</v>
      </c>
      <c r="N34" s="4">
        <f>4/117.387*61.1876</f>
        <v>2.0849872643478413</v>
      </c>
      <c r="O34" s="2"/>
      <c r="P34" s="2" t="s">
        <v>182</v>
      </c>
      <c r="Q34" s="2"/>
      <c r="R34" s="1"/>
      <c r="S34" s="1"/>
      <c r="T34" s="1"/>
      <c r="U34" s="1"/>
      <c r="V34" s="1"/>
      <c r="W34" s="1"/>
      <c r="X34" s="1"/>
      <c r="Y34" s="1"/>
    </row>
    <row r="35" spans="1:25" ht="28" x14ac:dyDescent="0.15">
      <c r="A35" s="2">
        <v>33</v>
      </c>
      <c r="B35" s="2" t="s">
        <v>183</v>
      </c>
      <c r="C35" s="2" t="s">
        <v>184</v>
      </c>
      <c r="D35" s="2">
        <v>43.3</v>
      </c>
      <c r="E35" s="2">
        <v>-2.48</v>
      </c>
      <c r="F35" s="2">
        <v>38.228721550000003</v>
      </c>
      <c r="G35" s="2">
        <v>-3.3545627740000001</v>
      </c>
      <c r="H35" s="2" t="s">
        <v>185</v>
      </c>
      <c r="I35" s="2" t="s">
        <v>49</v>
      </c>
      <c r="J35" s="2" t="s">
        <v>108</v>
      </c>
      <c r="K35" s="2" t="s">
        <v>124</v>
      </c>
      <c r="L35" s="2" t="s">
        <v>186</v>
      </c>
      <c r="M35" s="4" t="s">
        <v>111</v>
      </c>
      <c r="N35" s="4"/>
      <c r="O35" s="2"/>
      <c r="P35" s="2" t="s">
        <v>187</v>
      </c>
      <c r="Q35" s="2" t="s">
        <v>188</v>
      </c>
      <c r="R35" s="1"/>
      <c r="S35" s="1"/>
      <c r="T35" s="1"/>
      <c r="U35" s="1"/>
      <c r="V35" s="1"/>
      <c r="W35" s="1"/>
      <c r="X35" s="1"/>
      <c r="Y35" s="1"/>
    </row>
    <row r="36" spans="1:25" ht="28" x14ac:dyDescent="0.15">
      <c r="A36" s="2">
        <v>34</v>
      </c>
      <c r="B36" s="2" t="s">
        <v>189</v>
      </c>
      <c r="C36" s="2" t="s">
        <v>184</v>
      </c>
      <c r="D36" s="2">
        <v>43.3</v>
      </c>
      <c r="E36" s="2">
        <v>-2.25</v>
      </c>
      <c r="F36" s="2">
        <v>38.219845980000002</v>
      </c>
      <c r="G36" s="2">
        <v>-3.141791177</v>
      </c>
      <c r="H36" s="2" t="s">
        <v>185</v>
      </c>
      <c r="I36" s="2" t="s">
        <v>49</v>
      </c>
      <c r="J36" s="2" t="s">
        <v>108</v>
      </c>
      <c r="K36" s="2" t="s">
        <v>124</v>
      </c>
      <c r="L36" s="2" t="s">
        <v>186</v>
      </c>
      <c r="M36" s="4" t="s">
        <v>111</v>
      </c>
      <c r="N36" s="4">
        <f>20/1.5519*0.3695</f>
        <v>4.7619047619047619</v>
      </c>
      <c r="O36" s="2"/>
      <c r="P36" s="2" t="s">
        <v>190</v>
      </c>
      <c r="Q36" s="2"/>
      <c r="R36" s="1"/>
      <c r="S36" s="1"/>
      <c r="T36" s="1"/>
      <c r="U36" s="1"/>
      <c r="V36" s="1"/>
      <c r="W36" s="1"/>
      <c r="X36" s="1"/>
      <c r="Y36" s="1"/>
    </row>
    <row r="37" spans="1:25" ht="28" x14ac:dyDescent="0.15">
      <c r="A37" s="2">
        <v>35</v>
      </c>
      <c r="B37" s="2" t="s">
        <v>191</v>
      </c>
      <c r="C37" s="2" t="s">
        <v>184</v>
      </c>
      <c r="D37" s="2">
        <f>43+16/60+50/3600</f>
        <v>43.280555555555551</v>
      </c>
      <c r="E37" s="2">
        <f>-(2+6/60+52/3600)</f>
        <v>-2.1144444444444446</v>
      </c>
      <c r="F37" s="2">
        <v>38.195233029999997</v>
      </c>
      <c r="G37" s="2">
        <v>-3.0176988969999998</v>
      </c>
      <c r="H37" s="2" t="s">
        <v>192</v>
      </c>
      <c r="I37" s="2" t="s">
        <v>49</v>
      </c>
      <c r="J37" s="2" t="s">
        <v>20</v>
      </c>
      <c r="K37" s="2" t="s">
        <v>193</v>
      </c>
      <c r="L37" s="2" t="s">
        <v>194</v>
      </c>
      <c r="M37" s="4" t="s">
        <v>56</v>
      </c>
      <c r="N37" s="4">
        <f>30/2.7896*1.8659</f>
        <v>20.066317751648981</v>
      </c>
      <c r="O37" s="2"/>
      <c r="P37" s="2" t="s">
        <v>195</v>
      </c>
      <c r="Q37" s="2"/>
      <c r="R37" s="1"/>
      <c r="S37" s="1"/>
      <c r="T37" s="1"/>
      <c r="U37" s="1"/>
      <c r="V37" s="1"/>
      <c r="W37" s="1"/>
      <c r="X37" s="1"/>
      <c r="Y37" s="1"/>
    </row>
    <row r="38" spans="1:25" ht="28" x14ac:dyDescent="0.15">
      <c r="A38" s="2">
        <v>36</v>
      </c>
      <c r="B38" s="2" t="s">
        <v>196</v>
      </c>
      <c r="C38" s="2" t="s">
        <v>184</v>
      </c>
      <c r="D38" s="2">
        <v>43.19</v>
      </c>
      <c r="E38" s="2">
        <v>2.5</v>
      </c>
      <c r="F38" s="2">
        <v>38.351419700000001</v>
      </c>
      <c r="G38" s="2">
        <v>0.44406180200000001</v>
      </c>
      <c r="H38" s="2" t="s">
        <v>197</v>
      </c>
      <c r="I38" s="2" t="s">
        <v>49</v>
      </c>
      <c r="J38" s="2" t="s">
        <v>108</v>
      </c>
      <c r="K38" s="2" t="s">
        <v>124</v>
      </c>
      <c r="L38" s="2" t="s">
        <v>198</v>
      </c>
      <c r="M38" s="4" t="s">
        <v>111</v>
      </c>
      <c r="N38" s="4">
        <f>60/4.6648*1.6498</f>
        <v>21.220202366660953</v>
      </c>
      <c r="O38" s="2"/>
      <c r="P38" s="2" t="s">
        <v>190</v>
      </c>
      <c r="Q38" s="2" t="s">
        <v>199</v>
      </c>
      <c r="R38" s="1"/>
      <c r="S38" s="1"/>
      <c r="T38" s="1"/>
      <c r="U38" s="1"/>
      <c r="V38" s="1"/>
      <c r="W38" s="1"/>
      <c r="X38" s="1"/>
      <c r="Y38" s="1"/>
    </row>
    <row r="39" spans="1:25" ht="28" x14ac:dyDescent="0.15">
      <c r="A39" s="2">
        <v>37</v>
      </c>
      <c r="B39" s="2" t="s">
        <v>200</v>
      </c>
      <c r="C39" s="2" t="s">
        <v>184</v>
      </c>
      <c r="D39" s="3">
        <f>42+46/60+45/3600</f>
        <v>42.779166666666669</v>
      </c>
      <c r="E39" s="3">
        <f>-(2+28/60)</f>
        <v>-2.4666666666666668</v>
      </c>
      <c r="F39" s="3">
        <v>37.708104640000002</v>
      </c>
      <c r="G39" s="3">
        <v>-3.3772670009999999</v>
      </c>
      <c r="H39" s="2" t="s">
        <v>201</v>
      </c>
      <c r="I39" s="2" t="s">
        <v>130</v>
      </c>
      <c r="J39" s="2" t="s">
        <v>20</v>
      </c>
      <c r="K39" s="2" t="s">
        <v>202</v>
      </c>
      <c r="L39" s="2" t="s">
        <v>203</v>
      </c>
      <c r="M39" s="4" t="s">
        <v>56</v>
      </c>
      <c r="N39" s="4">
        <f>50/214.8292 *63</f>
        <v>14.662811200712008</v>
      </c>
      <c r="O39" s="2"/>
      <c r="P39" s="2" t="s">
        <v>204</v>
      </c>
      <c r="Q39" s="2" t="s">
        <v>205</v>
      </c>
      <c r="R39" s="1"/>
      <c r="S39" s="1"/>
      <c r="T39" s="1"/>
      <c r="U39" s="1"/>
      <c r="V39" s="1"/>
      <c r="W39" s="1"/>
      <c r="X39" s="1"/>
      <c r="Y39" s="1"/>
    </row>
    <row r="40" spans="1:25" ht="28" x14ac:dyDescent="0.15">
      <c r="A40" s="2">
        <v>38</v>
      </c>
      <c r="B40" s="2" t="s">
        <v>206</v>
      </c>
      <c r="C40" s="2" t="s">
        <v>184</v>
      </c>
      <c r="D40" s="2">
        <f>42+41/60+55/3600</f>
        <v>42.698611111111106</v>
      </c>
      <c r="E40" s="2">
        <f>-(2+26/60+11/3600)</f>
        <v>-2.4363888888888892</v>
      </c>
      <c r="F40" s="2">
        <v>37.626487470000001</v>
      </c>
      <c r="G40" s="2">
        <v>-3.3545855329999998</v>
      </c>
      <c r="H40" s="2" t="s">
        <v>207</v>
      </c>
      <c r="I40" s="2" t="s">
        <v>19</v>
      </c>
      <c r="J40" s="2" t="s">
        <v>108</v>
      </c>
      <c r="K40" s="2" t="s">
        <v>208</v>
      </c>
      <c r="L40" s="2" t="s">
        <v>209</v>
      </c>
      <c r="M40" s="4"/>
      <c r="N40" s="4"/>
      <c r="O40" s="2"/>
      <c r="P40" s="2" t="s">
        <v>204</v>
      </c>
      <c r="Q40" s="2" t="s">
        <v>210</v>
      </c>
      <c r="R40" s="1"/>
      <c r="S40" s="1"/>
      <c r="T40" s="1"/>
      <c r="U40" s="1"/>
      <c r="V40" s="1"/>
      <c r="W40" s="1"/>
      <c r="X40" s="1"/>
      <c r="Y40" s="1"/>
    </row>
    <row r="41" spans="1:25" ht="28" x14ac:dyDescent="0.15">
      <c r="A41" s="2">
        <v>39</v>
      </c>
      <c r="B41" s="2" t="s">
        <v>659</v>
      </c>
      <c r="C41" s="2" t="s">
        <v>211</v>
      </c>
      <c r="D41" s="2">
        <v>42.69</v>
      </c>
      <c r="E41" s="2">
        <v>47.24</v>
      </c>
      <c r="F41" s="2">
        <v>39.335062909999998</v>
      </c>
      <c r="G41" s="2">
        <v>42.350859059999998</v>
      </c>
      <c r="H41" s="2" t="s">
        <v>163</v>
      </c>
      <c r="I41" s="2" t="s">
        <v>19</v>
      </c>
      <c r="J41" s="2" t="s">
        <v>108</v>
      </c>
      <c r="K41" s="2" t="s">
        <v>212</v>
      </c>
      <c r="L41" s="2" t="s">
        <v>213</v>
      </c>
      <c r="M41" s="4" t="s">
        <v>111</v>
      </c>
      <c r="N41" s="4">
        <f>3/70.8312*40.2375</f>
        <v>1.7042277979195608</v>
      </c>
      <c r="O41" s="2"/>
      <c r="P41" s="2" t="s">
        <v>182</v>
      </c>
      <c r="Q41" s="2"/>
      <c r="R41" s="1"/>
      <c r="S41" s="1"/>
      <c r="T41" s="1"/>
      <c r="U41" s="1"/>
      <c r="V41" s="1"/>
      <c r="W41" s="1"/>
      <c r="X41" s="1"/>
      <c r="Y41" s="1"/>
    </row>
    <row r="42" spans="1:25" ht="28" x14ac:dyDescent="0.15">
      <c r="A42" s="2">
        <v>40</v>
      </c>
      <c r="B42" s="2" t="s">
        <v>214</v>
      </c>
      <c r="C42" s="2" t="s">
        <v>184</v>
      </c>
      <c r="D42" s="2">
        <v>42.66</v>
      </c>
      <c r="E42" s="2">
        <v>-0.12</v>
      </c>
      <c r="F42" s="2">
        <v>37.502032200000002</v>
      </c>
      <c r="G42" s="2">
        <v>-1.2114689649999999</v>
      </c>
      <c r="H42" s="2" t="s">
        <v>215</v>
      </c>
      <c r="I42" s="2" t="s">
        <v>19</v>
      </c>
      <c r="J42" s="2" t="s">
        <v>108</v>
      </c>
      <c r="K42" s="2" t="s">
        <v>216</v>
      </c>
      <c r="L42" s="2" t="s">
        <v>217</v>
      </c>
      <c r="M42" s="4" t="s">
        <v>111</v>
      </c>
      <c r="N42" s="4">
        <f>30/317.9092*188.2182</f>
        <v>17.761505486472238</v>
      </c>
      <c r="O42" s="2"/>
      <c r="P42" s="2" t="s">
        <v>218</v>
      </c>
      <c r="Q42" s="2" t="s">
        <v>219</v>
      </c>
      <c r="R42" s="1"/>
      <c r="S42" s="1"/>
      <c r="T42" s="1"/>
      <c r="U42" s="1"/>
      <c r="V42" s="1"/>
      <c r="W42" s="1"/>
      <c r="X42" s="1"/>
      <c r="Y42" s="1"/>
    </row>
    <row r="43" spans="1:25" ht="28" x14ac:dyDescent="0.15">
      <c r="A43" s="2">
        <v>41</v>
      </c>
      <c r="B43" s="2" t="s">
        <v>220</v>
      </c>
      <c r="C43" s="2" t="s">
        <v>184</v>
      </c>
      <c r="D43" s="2">
        <v>42.62</v>
      </c>
      <c r="E43" s="2">
        <v>0.03</v>
      </c>
      <c r="F43" s="2">
        <v>37.456784669999998</v>
      </c>
      <c r="G43" s="2">
        <v>-1.0750003850000001</v>
      </c>
      <c r="H43" s="2" t="s">
        <v>215</v>
      </c>
      <c r="I43" s="2" t="s">
        <v>19</v>
      </c>
      <c r="J43" s="2" t="s">
        <v>108</v>
      </c>
      <c r="K43" s="2" t="s">
        <v>216</v>
      </c>
      <c r="L43" s="2" t="s">
        <v>221</v>
      </c>
      <c r="M43" s="4" t="s">
        <v>111</v>
      </c>
      <c r="N43" s="4">
        <f>30/317.9092*268.0281</f>
        <v>25.29289180684296</v>
      </c>
      <c r="O43" s="2"/>
      <c r="P43" s="2" t="s">
        <v>218</v>
      </c>
      <c r="Q43" s="2" t="s">
        <v>219</v>
      </c>
      <c r="R43" s="1"/>
      <c r="S43" s="1"/>
      <c r="T43" s="1"/>
      <c r="U43" s="1"/>
      <c r="V43" s="1"/>
      <c r="W43" s="1"/>
      <c r="X43" s="1"/>
      <c r="Y43" s="1"/>
    </row>
    <row r="44" spans="1:25" ht="28" x14ac:dyDescent="0.15">
      <c r="A44" s="2">
        <v>42</v>
      </c>
      <c r="B44" s="2" t="s">
        <v>222</v>
      </c>
      <c r="C44" s="2" t="s">
        <v>184</v>
      </c>
      <c r="D44" s="2">
        <v>42.39</v>
      </c>
      <c r="E44" s="2">
        <v>0.37</v>
      </c>
      <c r="F44" s="2">
        <v>37.215161969999997</v>
      </c>
      <c r="G44" s="2">
        <v>-0.77381532600000003</v>
      </c>
      <c r="H44" s="2" t="s">
        <v>223</v>
      </c>
      <c r="I44" s="2" t="s">
        <v>19</v>
      </c>
      <c r="J44" s="2" t="s">
        <v>20</v>
      </c>
      <c r="K44" s="2" t="s">
        <v>224</v>
      </c>
      <c r="L44" s="2" t="s">
        <v>225</v>
      </c>
      <c r="M44" s="4" t="s">
        <v>56</v>
      </c>
      <c r="N44" s="4">
        <f>10/0.195*0.0862</f>
        <v>4.4205128205128199</v>
      </c>
      <c r="O44" s="2"/>
      <c r="P44" s="2" t="s">
        <v>226</v>
      </c>
      <c r="Q44" s="2"/>
      <c r="R44" s="1"/>
      <c r="S44" s="1"/>
      <c r="T44" s="1"/>
      <c r="U44" s="1"/>
      <c r="V44" s="1"/>
      <c r="W44" s="1"/>
      <c r="X44" s="1"/>
      <c r="Y44" s="1"/>
    </row>
    <row r="45" spans="1:25" ht="28" x14ac:dyDescent="0.15">
      <c r="A45" s="2">
        <v>43</v>
      </c>
      <c r="B45" s="2" t="s">
        <v>227</v>
      </c>
      <c r="C45" s="2" t="s">
        <v>184</v>
      </c>
      <c r="D45" s="2">
        <v>42.26</v>
      </c>
      <c r="E45" s="2">
        <v>0.68</v>
      </c>
      <c r="F45" s="2">
        <v>37.074613059999997</v>
      </c>
      <c r="G45" s="2">
        <v>-0.49420384000000001</v>
      </c>
      <c r="H45" s="2" t="s">
        <v>228</v>
      </c>
      <c r="I45" s="2" t="s">
        <v>130</v>
      </c>
      <c r="J45" s="2" t="s">
        <v>20</v>
      </c>
      <c r="K45" s="2" t="s">
        <v>229</v>
      </c>
      <c r="L45" s="2" t="s">
        <v>230</v>
      </c>
      <c r="M45" s="4" t="s">
        <v>56</v>
      </c>
      <c r="N45" s="4">
        <f>40/3.5933*1.7366</f>
        <v>19.331533687696545</v>
      </c>
      <c r="O45" s="2"/>
      <c r="P45" s="2" t="s">
        <v>231</v>
      </c>
      <c r="Q45" s="2"/>
      <c r="R45" s="1"/>
      <c r="S45" s="1"/>
      <c r="T45" s="1"/>
      <c r="U45" s="1"/>
      <c r="V45" s="1"/>
      <c r="W45" s="1"/>
      <c r="X45" s="1"/>
      <c r="Y45" s="1"/>
    </row>
    <row r="46" spans="1:25" ht="28" x14ac:dyDescent="0.15">
      <c r="A46" s="2">
        <v>44</v>
      </c>
      <c r="B46" s="2" t="s">
        <v>232</v>
      </c>
      <c r="C46" s="2" t="s">
        <v>184</v>
      </c>
      <c r="D46" s="2">
        <v>42.25</v>
      </c>
      <c r="E46" s="2">
        <v>0.8</v>
      </c>
      <c r="F46" s="2">
        <v>37.06052262</v>
      </c>
      <c r="G46" s="2">
        <v>-0.38358863700000001</v>
      </c>
      <c r="H46" s="2" t="s">
        <v>228</v>
      </c>
      <c r="I46" s="2" t="s">
        <v>130</v>
      </c>
      <c r="J46" s="2" t="s">
        <v>20</v>
      </c>
      <c r="K46" s="2" t="s">
        <v>229</v>
      </c>
      <c r="L46" s="2" t="s">
        <v>230</v>
      </c>
      <c r="M46" s="4" t="s">
        <v>56</v>
      </c>
      <c r="N46" s="4">
        <f>200/4.0455*0.5604</f>
        <v>27.704857248794962</v>
      </c>
      <c r="O46" s="2"/>
      <c r="P46" s="2" t="s">
        <v>233</v>
      </c>
      <c r="Q46" s="2"/>
      <c r="R46" s="1"/>
      <c r="S46" s="1"/>
      <c r="T46" s="1"/>
      <c r="U46" s="1"/>
      <c r="V46" s="1"/>
      <c r="W46" s="1"/>
      <c r="X46" s="1"/>
      <c r="Y46" s="1"/>
    </row>
    <row r="47" spans="1:25" ht="28" x14ac:dyDescent="0.15">
      <c r="A47" s="2">
        <v>45</v>
      </c>
      <c r="B47" s="2" t="s">
        <v>234</v>
      </c>
      <c r="C47" s="2" t="s">
        <v>157</v>
      </c>
      <c r="D47" s="2">
        <v>41.97</v>
      </c>
      <c r="E47" s="2">
        <v>-106.52</v>
      </c>
      <c r="F47" s="2">
        <v>47.052513879999999</v>
      </c>
      <c r="G47" s="2">
        <v>-88.499226390000004</v>
      </c>
      <c r="H47" s="2" t="s">
        <v>153</v>
      </c>
      <c r="I47" s="2" t="s">
        <v>130</v>
      </c>
      <c r="J47" s="2" t="s">
        <v>20</v>
      </c>
      <c r="K47" s="2" t="s">
        <v>235</v>
      </c>
      <c r="L47" s="2" t="s">
        <v>132</v>
      </c>
      <c r="M47" s="4" t="s">
        <v>56</v>
      </c>
      <c r="N47" s="4">
        <f>3.3625/4.0297*180</f>
        <v>150.19728515770402</v>
      </c>
      <c r="O47" s="2"/>
      <c r="P47" s="2" t="s">
        <v>236</v>
      </c>
      <c r="Q47" s="2" t="s">
        <v>237</v>
      </c>
      <c r="R47" s="1"/>
      <c r="S47" s="1"/>
      <c r="T47" s="1"/>
      <c r="U47" s="1"/>
      <c r="V47" s="1"/>
      <c r="W47" s="1"/>
      <c r="X47" s="1"/>
      <c r="Y47" s="1"/>
    </row>
    <row r="48" spans="1:25" ht="28" x14ac:dyDescent="0.15">
      <c r="A48" s="2">
        <v>46</v>
      </c>
      <c r="B48" s="2" t="s">
        <v>238</v>
      </c>
      <c r="C48" s="2" t="s">
        <v>239</v>
      </c>
      <c r="D48" s="2">
        <v>40.08</v>
      </c>
      <c r="E48" s="2">
        <v>-108.24</v>
      </c>
      <c r="F48" s="2">
        <v>45.432898680000001</v>
      </c>
      <c r="G48" s="2">
        <v>-90.845492199999995</v>
      </c>
      <c r="H48" s="2" t="s">
        <v>129</v>
      </c>
      <c r="I48" s="2" t="s">
        <v>130</v>
      </c>
      <c r="J48" s="2" t="s">
        <v>20</v>
      </c>
      <c r="K48" s="2" t="s">
        <v>240</v>
      </c>
      <c r="L48" s="2" t="s">
        <v>132</v>
      </c>
      <c r="M48" s="4" t="s">
        <v>56</v>
      </c>
      <c r="N48" s="4">
        <f>1.9985/7.7023*160</f>
        <v>41.514872181036829</v>
      </c>
      <c r="O48" s="2"/>
      <c r="P48" s="2" t="s">
        <v>241</v>
      </c>
      <c r="Q48" s="2" t="s">
        <v>242</v>
      </c>
      <c r="R48" s="1"/>
      <c r="S48" s="1"/>
      <c r="T48" s="1"/>
      <c r="U48" s="1"/>
      <c r="V48" s="1"/>
      <c r="W48" s="1"/>
      <c r="X48" s="1"/>
      <c r="Y48" s="1"/>
    </row>
    <row r="49" spans="1:25" ht="28" x14ac:dyDescent="0.15">
      <c r="A49" s="2">
        <v>47</v>
      </c>
      <c r="B49" s="2" t="s">
        <v>243</v>
      </c>
      <c r="C49" s="2" t="s">
        <v>244</v>
      </c>
      <c r="D49" s="2">
        <v>39.65</v>
      </c>
      <c r="E49" s="2">
        <v>-75.05</v>
      </c>
      <c r="F49" s="2">
        <v>39.918972240000002</v>
      </c>
      <c r="G49" s="2">
        <v>-56.941001620000002</v>
      </c>
      <c r="H49" s="2" t="s">
        <v>245</v>
      </c>
      <c r="I49" s="2" t="s">
        <v>19</v>
      </c>
      <c r="J49" s="2" t="s">
        <v>20</v>
      </c>
      <c r="K49" s="2" t="s">
        <v>246</v>
      </c>
      <c r="L49" s="2" t="s">
        <v>679</v>
      </c>
      <c r="M49" s="4" t="s">
        <v>31</v>
      </c>
      <c r="N49" s="4">
        <f>20/2.6095*1.7643</f>
        <v>13.522130676374784</v>
      </c>
      <c r="O49" s="2" t="s">
        <v>51</v>
      </c>
      <c r="P49" s="2" t="s">
        <v>247</v>
      </c>
      <c r="Q49" s="2"/>
      <c r="R49" s="1"/>
      <c r="S49" s="1"/>
      <c r="T49" s="1"/>
      <c r="U49" s="1"/>
      <c r="V49" s="1"/>
      <c r="W49" s="1"/>
      <c r="X49" s="1"/>
      <c r="Y49" s="1"/>
    </row>
    <row r="50" spans="1:25" ht="28" x14ac:dyDescent="0.15">
      <c r="A50" s="2">
        <v>48</v>
      </c>
      <c r="B50" s="2" t="s">
        <v>248</v>
      </c>
      <c r="C50" s="2" t="s">
        <v>244</v>
      </c>
      <c r="D50" s="2">
        <v>39.64</v>
      </c>
      <c r="E50" s="2">
        <v>-74.84</v>
      </c>
      <c r="F50" s="2">
        <v>39.875448540000001</v>
      </c>
      <c r="G50" s="2">
        <v>-56.737591080000001</v>
      </c>
      <c r="H50" s="2" t="s">
        <v>245</v>
      </c>
      <c r="I50" s="2" t="s">
        <v>19</v>
      </c>
      <c r="J50" s="2" t="s">
        <v>20</v>
      </c>
      <c r="K50" s="2" t="s">
        <v>246</v>
      </c>
      <c r="L50" s="2" t="s">
        <v>679</v>
      </c>
      <c r="M50" s="4" t="s">
        <v>31</v>
      </c>
      <c r="N50" s="4">
        <f>10/1.3025 *1.5796</f>
        <v>12.127447216890594</v>
      </c>
      <c r="O50" s="2" t="s">
        <v>51</v>
      </c>
      <c r="P50" s="2" t="s">
        <v>247</v>
      </c>
      <c r="Q50" s="2"/>
      <c r="R50" s="1"/>
      <c r="S50" s="1"/>
      <c r="T50" s="1"/>
      <c r="U50" s="1"/>
      <c r="V50" s="1"/>
      <c r="W50" s="1"/>
      <c r="X50" s="1"/>
      <c r="Y50" s="1"/>
    </row>
    <row r="51" spans="1:25" ht="28" x14ac:dyDescent="0.15">
      <c r="A51" s="2">
        <v>49</v>
      </c>
      <c r="B51" s="2" t="s">
        <v>249</v>
      </c>
      <c r="C51" s="2" t="s">
        <v>244</v>
      </c>
      <c r="D51" s="2">
        <v>39.6</v>
      </c>
      <c r="E51" s="2">
        <v>-74.430000000000007</v>
      </c>
      <c r="F51" s="2">
        <v>39.770462029999997</v>
      </c>
      <c r="G51" s="2">
        <v>-56.346286829999997</v>
      </c>
      <c r="H51" s="2" t="s">
        <v>245</v>
      </c>
      <c r="I51" s="2" t="s">
        <v>19</v>
      </c>
      <c r="J51" s="2" t="s">
        <v>20</v>
      </c>
      <c r="K51" s="2" t="s">
        <v>246</v>
      </c>
      <c r="L51" s="2" t="s">
        <v>679</v>
      </c>
      <c r="M51" s="4" t="s">
        <v>31</v>
      </c>
      <c r="N51" s="4">
        <v>10.111255999999999</v>
      </c>
      <c r="O51" s="2" t="s">
        <v>51</v>
      </c>
      <c r="P51" s="2" t="s">
        <v>247</v>
      </c>
      <c r="Q51" s="2"/>
      <c r="R51" s="1"/>
      <c r="S51" s="1"/>
      <c r="T51" s="1"/>
      <c r="U51" s="1"/>
      <c r="V51" s="1"/>
      <c r="W51" s="1"/>
      <c r="X51" s="1"/>
      <c r="Y51" s="1"/>
    </row>
    <row r="52" spans="1:25" ht="28" x14ac:dyDescent="0.15">
      <c r="A52" s="2">
        <v>50</v>
      </c>
      <c r="B52" s="2" t="s">
        <v>250</v>
      </c>
      <c r="C52" s="2" t="s">
        <v>251</v>
      </c>
      <c r="D52" s="2">
        <v>39.409999999999997</v>
      </c>
      <c r="E52" s="2">
        <v>-111.7</v>
      </c>
      <c r="F52" s="2">
        <v>44.79327035</v>
      </c>
      <c r="G52" s="2">
        <v>-93.485610370000003</v>
      </c>
      <c r="H52" s="2" t="s">
        <v>129</v>
      </c>
      <c r="I52" s="2" t="s">
        <v>130</v>
      </c>
      <c r="J52" s="2" t="s">
        <v>20</v>
      </c>
      <c r="K52" s="2" t="s">
        <v>252</v>
      </c>
      <c r="L52" s="2" t="s">
        <v>253</v>
      </c>
      <c r="M52" s="4" t="s">
        <v>23</v>
      </c>
      <c r="N52" s="4">
        <f>100/210.3071*41.6707</f>
        <v>19.814214546251648</v>
      </c>
      <c r="O52" s="2"/>
      <c r="P52" s="5" t="s">
        <v>254</v>
      </c>
      <c r="Q52" s="2"/>
      <c r="R52" s="1"/>
      <c r="S52" s="1"/>
      <c r="T52" s="1"/>
      <c r="U52" s="1"/>
      <c r="V52" s="1"/>
      <c r="W52" s="1"/>
      <c r="X52" s="1"/>
      <c r="Y52" s="1"/>
    </row>
    <row r="53" spans="1:25" ht="14" x14ac:dyDescent="0.15">
      <c r="A53" s="2">
        <v>51</v>
      </c>
      <c r="B53" s="2" t="s">
        <v>255</v>
      </c>
      <c r="C53" s="2" t="s">
        <v>251</v>
      </c>
      <c r="D53" s="2">
        <v>39.340000000000003</v>
      </c>
      <c r="E53" s="2">
        <v>-111.55</v>
      </c>
      <c r="F53" s="2">
        <v>45.147636069999997</v>
      </c>
      <c r="G53" s="2">
        <v>-94.592899290000005</v>
      </c>
      <c r="H53" s="2" t="s">
        <v>256</v>
      </c>
      <c r="I53" s="2" t="s">
        <v>257</v>
      </c>
      <c r="J53" s="2" t="s">
        <v>108</v>
      </c>
      <c r="K53" s="2"/>
      <c r="L53" s="2"/>
      <c r="M53" s="4"/>
      <c r="N53" s="4"/>
      <c r="O53" s="2"/>
      <c r="P53" s="2"/>
      <c r="Q53" s="2" t="s">
        <v>258</v>
      </c>
      <c r="R53" s="1"/>
      <c r="S53" s="1"/>
      <c r="T53" s="1"/>
      <c r="U53" s="1"/>
      <c r="V53" s="1"/>
      <c r="W53" s="1"/>
      <c r="X53" s="1"/>
      <c r="Y53" s="1"/>
    </row>
    <row r="54" spans="1:25" ht="14" x14ac:dyDescent="0.15">
      <c r="A54" s="2">
        <v>52</v>
      </c>
      <c r="B54" s="2" t="s">
        <v>259</v>
      </c>
      <c r="C54" s="2" t="s">
        <v>251</v>
      </c>
      <c r="D54" s="2">
        <v>39.229999999999997</v>
      </c>
      <c r="E54" s="2">
        <v>-111.47</v>
      </c>
      <c r="F54" s="2">
        <v>45.02873984</v>
      </c>
      <c r="G54" s="2">
        <v>-94.532842930000001</v>
      </c>
      <c r="H54" s="2" t="s">
        <v>256</v>
      </c>
      <c r="I54" s="2" t="s">
        <v>257</v>
      </c>
      <c r="J54" s="2" t="s">
        <v>108</v>
      </c>
      <c r="K54" s="2"/>
      <c r="L54" s="2"/>
      <c r="M54" s="4"/>
      <c r="N54" s="4"/>
      <c r="O54" s="2"/>
      <c r="P54" s="2"/>
      <c r="Q54" s="2" t="s">
        <v>258</v>
      </c>
      <c r="R54" s="1"/>
      <c r="S54" s="1"/>
      <c r="T54" s="1"/>
      <c r="U54" s="1"/>
      <c r="V54" s="1"/>
      <c r="W54" s="1"/>
      <c r="X54" s="1"/>
      <c r="Y54" s="1"/>
    </row>
    <row r="55" spans="1:25" ht="28" x14ac:dyDescent="0.15">
      <c r="A55" s="2">
        <v>53</v>
      </c>
      <c r="B55" s="2" t="s">
        <v>260</v>
      </c>
      <c r="C55" s="2" t="s">
        <v>261</v>
      </c>
      <c r="D55" s="2">
        <v>38.729999999999997</v>
      </c>
      <c r="E55" s="2">
        <v>-76</v>
      </c>
      <c r="F55" s="2">
        <v>39.171689669999999</v>
      </c>
      <c r="G55" s="2">
        <v>-58.122538210000002</v>
      </c>
      <c r="H55" s="2" t="s">
        <v>262</v>
      </c>
      <c r="I55" s="2" t="s">
        <v>19</v>
      </c>
      <c r="J55" s="2" t="s">
        <v>20</v>
      </c>
      <c r="K55" s="2" t="s">
        <v>246</v>
      </c>
      <c r="L55" s="2" t="s">
        <v>30</v>
      </c>
      <c r="M55" s="4" t="s">
        <v>31</v>
      </c>
      <c r="N55" s="4">
        <v>16.824116499999999</v>
      </c>
      <c r="O55" s="2"/>
      <c r="P55" s="2" t="s">
        <v>263</v>
      </c>
      <c r="Q55" s="2"/>
      <c r="R55" s="1"/>
      <c r="S55" s="1"/>
      <c r="T55" s="1"/>
      <c r="U55" s="1"/>
      <c r="V55" s="1"/>
      <c r="W55" s="1"/>
      <c r="X55" s="1"/>
      <c r="Y55" s="1"/>
    </row>
    <row r="56" spans="1:25" ht="28" x14ac:dyDescent="0.15">
      <c r="A56" s="2">
        <v>54</v>
      </c>
      <c r="B56" s="2" t="s">
        <v>264</v>
      </c>
      <c r="C56" s="2" t="s">
        <v>184</v>
      </c>
      <c r="D56" s="2">
        <v>38.1</v>
      </c>
      <c r="E56" s="2">
        <v>-1.86</v>
      </c>
      <c r="F56" s="2">
        <v>33.011559589999997</v>
      </c>
      <c r="G56" s="2">
        <v>-3.103217495</v>
      </c>
      <c r="H56" s="2" t="s">
        <v>265</v>
      </c>
      <c r="I56" s="2" t="s">
        <v>36</v>
      </c>
      <c r="J56" s="2" t="s">
        <v>108</v>
      </c>
      <c r="K56" s="2" t="s">
        <v>266</v>
      </c>
      <c r="L56" s="2" t="s">
        <v>267</v>
      </c>
      <c r="M56" s="4" t="s">
        <v>111</v>
      </c>
      <c r="N56" s="4">
        <f>20/4.0957*1.764</f>
        <v>8.613912151768929</v>
      </c>
      <c r="O56" s="2" t="s">
        <v>51</v>
      </c>
      <c r="P56" s="2" t="s">
        <v>268</v>
      </c>
      <c r="Q56" s="2" t="s">
        <v>269</v>
      </c>
      <c r="R56" s="1"/>
      <c r="S56" s="1"/>
      <c r="T56" s="1"/>
      <c r="U56" s="1"/>
      <c r="V56" s="1"/>
      <c r="W56" s="1"/>
      <c r="X56" s="1"/>
      <c r="Y56" s="1"/>
    </row>
    <row r="57" spans="1:25" ht="28" x14ac:dyDescent="0.15">
      <c r="A57" s="2">
        <v>55</v>
      </c>
      <c r="B57" s="2" t="s">
        <v>270</v>
      </c>
      <c r="C57" s="2" t="s">
        <v>271</v>
      </c>
      <c r="D57" s="2">
        <v>38</v>
      </c>
      <c r="E57" s="2">
        <v>69</v>
      </c>
      <c r="F57" s="2">
        <v>36.167254560000003</v>
      </c>
      <c r="G57" s="2">
        <v>63.761687719999998</v>
      </c>
      <c r="H57" s="2" t="s">
        <v>163</v>
      </c>
      <c r="I57" s="2" t="s">
        <v>19</v>
      </c>
      <c r="J57" s="2" t="s">
        <v>108</v>
      </c>
      <c r="K57" s="2" t="s">
        <v>272</v>
      </c>
      <c r="L57" s="2" t="s">
        <v>273</v>
      </c>
      <c r="M57" s="4" t="s">
        <v>111</v>
      </c>
      <c r="N57" s="4">
        <f>10/95.7718*30.1504</f>
        <v>3.1481500817568429</v>
      </c>
      <c r="O57" s="2"/>
      <c r="P57" s="2" t="s">
        <v>182</v>
      </c>
      <c r="Q57" s="2"/>
      <c r="R57" s="1"/>
      <c r="S57" s="1"/>
      <c r="T57" s="1"/>
      <c r="U57" s="1"/>
      <c r="V57" s="1"/>
      <c r="W57" s="1"/>
      <c r="X57" s="1"/>
      <c r="Y57" s="1"/>
    </row>
    <row r="58" spans="1:25" ht="28" x14ac:dyDescent="0.15">
      <c r="A58" s="2">
        <v>56</v>
      </c>
      <c r="B58" s="2" t="s">
        <v>274</v>
      </c>
      <c r="C58" s="2" t="s">
        <v>275</v>
      </c>
      <c r="D58" s="2">
        <v>38</v>
      </c>
      <c r="E58" s="2">
        <v>69</v>
      </c>
      <c r="F58" s="2">
        <v>36.167254560000003</v>
      </c>
      <c r="G58" s="2">
        <v>63.761687719999998</v>
      </c>
      <c r="H58" s="2" t="s">
        <v>276</v>
      </c>
      <c r="I58" s="2" t="s">
        <v>19</v>
      </c>
      <c r="J58" s="2" t="s">
        <v>108</v>
      </c>
      <c r="K58" s="2"/>
      <c r="L58" s="2"/>
      <c r="M58" s="4"/>
      <c r="N58" s="4"/>
      <c r="O58" s="2"/>
      <c r="P58" s="2" t="s">
        <v>277</v>
      </c>
      <c r="Q58" s="2" t="s">
        <v>80</v>
      </c>
      <c r="R58" s="1"/>
      <c r="S58" s="1"/>
      <c r="T58" s="1"/>
      <c r="U58" s="1"/>
      <c r="V58" s="1"/>
      <c r="W58" s="1"/>
      <c r="X58" s="1"/>
      <c r="Y58" s="1"/>
    </row>
    <row r="59" spans="1:25" ht="28" x14ac:dyDescent="0.15">
      <c r="A59" s="2">
        <v>57</v>
      </c>
      <c r="B59" s="2" t="s">
        <v>278</v>
      </c>
      <c r="C59" s="2" t="s">
        <v>184</v>
      </c>
      <c r="D59" s="2">
        <v>37.5</v>
      </c>
      <c r="E59" s="2">
        <v>3.2</v>
      </c>
      <c r="F59" s="2">
        <v>32.236778919999999</v>
      </c>
      <c r="G59" s="2">
        <v>1.607958089</v>
      </c>
      <c r="H59" s="2" t="s">
        <v>279</v>
      </c>
      <c r="I59" s="2" t="s">
        <v>49</v>
      </c>
      <c r="J59" s="2" t="s">
        <v>108</v>
      </c>
      <c r="K59" s="2" t="s">
        <v>124</v>
      </c>
      <c r="L59" s="2" t="s">
        <v>280</v>
      </c>
      <c r="M59" s="4" t="s">
        <v>111</v>
      </c>
      <c r="N59" s="4">
        <f>20/2.94*0.365</f>
        <v>2.4829931972789119</v>
      </c>
      <c r="O59" s="2"/>
      <c r="P59" s="2" t="s">
        <v>281</v>
      </c>
      <c r="Q59" s="2"/>
      <c r="R59" s="1"/>
      <c r="S59" s="1"/>
      <c r="T59" s="1"/>
      <c r="U59" s="1"/>
      <c r="V59" s="1"/>
      <c r="W59" s="1"/>
      <c r="X59" s="1"/>
      <c r="Y59" s="1"/>
    </row>
    <row r="60" spans="1:25" ht="28" x14ac:dyDescent="0.15">
      <c r="A60" s="2">
        <v>58</v>
      </c>
      <c r="B60" s="2" t="s">
        <v>282</v>
      </c>
      <c r="C60" s="2" t="s">
        <v>283</v>
      </c>
      <c r="D60" s="2">
        <v>36.58</v>
      </c>
      <c r="E60" s="2">
        <v>-120.63</v>
      </c>
      <c r="F60" s="2">
        <v>41.251248820000001</v>
      </c>
      <c r="G60" s="2">
        <v>-100.57287650000001</v>
      </c>
      <c r="H60" s="2" t="s">
        <v>284</v>
      </c>
      <c r="I60" s="2" t="s">
        <v>36</v>
      </c>
      <c r="J60" s="2" t="s">
        <v>20</v>
      </c>
      <c r="K60" s="2" t="s">
        <v>285</v>
      </c>
      <c r="L60" s="2" t="s">
        <v>30</v>
      </c>
      <c r="M60" s="4" t="s">
        <v>31</v>
      </c>
      <c r="N60" s="4">
        <f>45.7706/250.2246*80</f>
        <v>14.633445312731041</v>
      </c>
      <c r="O60" s="2"/>
      <c r="P60" s="2" t="s">
        <v>286</v>
      </c>
      <c r="Q60" s="2"/>
      <c r="R60" s="1"/>
      <c r="S60" s="1"/>
      <c r="T60" s="1"/>
      <c r="U60" s="1"/>
      <c r="V60" s="1"/>
      <c r="W60" s="1"/>
      <c r="X60" s="1"/>
      <c r="Y60" s="1"/>
    </row>
    <row r="61" spans="1:25" ht="28" x14ac:dyDescent="0.15">
      <c r="A61" s="2">
        <v>59</v>
      </c>
      <c r="B61" s="2" t="s">
        <v>287</v>
      </c>
      <c r="C61" s="2" t="s">
        <v>283</v>
      </c>
      <c r="D61" s="2">
        <v>36.53</v>
      </c>
      <c r="E61" s="2">
        <v>-120.63</v>
      </c>
      <c r="F61" s="2">
        <v>41.201483140000001</v>
      </c>
      <c r="G61" s="2">
        <v>-100.5793051</v>
      </c>
      <c r="H61" s="2" t="s">
        <v>288</v>
      </c>
      <c r="I61" s="2" t="s">
        <v>36</v>
      </c>
      <c r="J61" s="2" t="s">
        <v>20</v>
      </c>
      <c r="K61" s="2"/>
      <c r="L61" s="2" t="s">
        <v>289</v>
      </c>
      <c r="M61" s="4" t="s">
        <v>31</v>
      </c>
      <c r="N61" s="4">
        <v>25.912600000000001</v>
      </c>
      <c r="O61" s="2"/>
      <c r="P61" s="2" t="s">
        <v>290</v>
      </c>
      <c r="Q61" s="2" t="s">
        <v>291</v>
      </c>
      <c r="R61" s="1"/>
      <c r="S61" s="1"/>
      <c r="T61" s="1"/>
      <c r="U61" s="1"/>
      <c r="V61" s="1"/>
      <c r="W61" s="1"/>
      <c r="X61" s="1"/>
      <c r="Y61" s="1"/>
    </row>
    <row r="62" spans="1:25" ht="28" x14ac:dyDescent="0.15">
      <c r="A62" s="2">
        <v>60</v>
      </c>
      <c r="B62" s="2" t="s">
        <v>292</v>
      </c>
      <c r="C62" s="2" t="s">
        <v>293</v>
      </c>
      <c r="D62" s="2">
        <v>35.86</v>
      </c>
      <c r="E62" s="2">
        <v>9.4499999999999993</v>
      </c>
      <c r="F62" s="2">
        <v>27.273308929999999</v>
      </c>
      <c r="G62" s="2">
        <v>7.2604568729999999</v>
      </c>
      <c r="H62" s="2" t="s">
        <v>667</v>
      </c>
      <c r="I62" s="2" t="s">
        <v>19</v>
      </c>
      <c r="J62" s="2" t="s">
        <v>20</v>
      </c>
      <c r="K62" s="2" t="s">
        <v>294</v>
      </c>
      <c r="L62" s="2" t="s">
        <v>295</v>
      </c>
      <c r="M62" s="4" t="s">
        <v>56</v>
      </c>
      <c r="N62" s="4">
        <f>40/2.7981*0.2094</f>
        <v>2.9934598477538334</v>
      </c>
      <c r="O62" s="2"/>
      <c r="P62" s="2" t="s">
        <v>296</v>
      </c>
      <c r="Q62" s="2" t="s">
        <v>297</v>
      </c>
      <c r="R62" s="1"/>
      <c r="S62" s="1"/>
      <c r="T62" s="1"/>
      <c r="U62" s="1"/>
      <c r="V62" s="1"/>
      <c r="W62" s="1"/>
      <c r="X62" s="1"/>
      <c r="Y62" s="1"/>
    </row>
    <row r="63" spans="1:25" ht="28" x14ac:dyDescent="0.15">
      <c r="A63" s="2">
        <v>61</v>
      </c>
      <c r="B63" s="2" t="s">
        <v>298</v>
      </c>
      <c r="C63" s="2" t="s">
        <v>293</v>
      </c>
      <c r="D63" s="2">
        <v>35.74</v>
      </c>
      <c r="E63" s="2">
        <v>8.4499999999999993</v>
      </c>
      <c r="F63" s="2">
        <v>27.27792668</v>
      </c>
      <c r="G63" s="2">
        <v>6.3380146880000003</v>
      </c>
      <c r="H63" s="2" t="s">
        <v>299</v>
      </c>
      <c r="I63" s="2" t="s">
        <v>19</v>
      </c>
      <c r="J63" s="2" t="s">
        <v>20</v>
      </c>
      <c r="K63" s="2" t="s">
        <v>300</v>
      </c>
      <c r="L63" s="2" t="s">
        <v>301</v>
      </c>
      <c r="M63" s="4" t="s">
        <v>302</v>
      </c>
      <c r="N63" s="4">
        <f>10/3.0206*1.7643</f>
        <v>5.8408925379063765</v>
      </c>
      <c r="O63" s="2" t="s">
        <v>51</v>
      </c>
      <c r="P63" s="2" t="s">
        <v>247</v>
      </c>
      <c r="Q63" s="2" t="s">
        <v>303</v>
      </c>
      <c r="R63" s="1"/>
      <c r="S63" s="1"/>
      <c r="T63" s="1"/>
      <c r="U63" s="1"/>
      <c r="V63" s="1"/>
      <c r="W63" s="1"/>
      <c r="X63" s="1"/>
      <c r="Y63" s="1"/>
    </row>
    <row r="64" spans="1:25" ht="28" x14ac:dyDescent="0.15">
      <c r="A64" s="2">
        <v>62</v>
      </c>
      <c r="B64" s="2" t="s">
        <v>304</v>
      </c>
      <c r="C64" s="2" t="s">
        <v>305</v>
      </c>
      <c r="D64" s="2">
        <v>34.32</v>
      </c>
      <c r="E64" s="2">
        <v>6.32</v>
      </c>
      <c r="F64" s="2">
        <v>26.146326330000001</v>
      </c>
      <c r="G64" s="2">
        <v>4.1621523089999997</v>
      </c>
      <c r="H64" s="2" t="s">
        <v>306</v>
      </c>
      <c r="I64" s="2" t="s">
        <v>19</v>
      </c>
      <c r="J64" s="2" t="s">
        <v>43</v>
      </c>
      <c r="K64" s="2"/>
      <c r="L64" s="2"/>
      <c r="M64" s="4"/>
      <c r="N64" s="4"/>
      <c r="O64" s="2"/>
      <c r="P64" s="2" t="s">
        <v>169</v>
      </c>
      <c r="Q64" s="2" t="s">
        <v>307</v>
      </c>
      <c r="R64" s="1"/>
      <c r="S64" s="1"/>
      <c r="T64" s="1"/>
      <c r="U64" s="1"/>
      <c r="V64" s="1"/>
      <c r="W64" s="1"/>
      <c r="X64" s="1"/>
      <c r="Y64" s="1"/>
    </row>
    <row r="65" spans="1:25" ht="28" x14ac:dyDescent="0.15">
      <c r="A65" s="2">
        <v>63</v>
      </c>
      <c r="B65" s="2" t="s">
        <v>308</v>
      </c>
      <c r="C65" s="2" t="s">
        <v>309</v>
      </c>
      <c r="D65" s="2">
        <v>32.729999999999997</v>
      </c>
      <c r="E65" s="2">
        <v>111.46</v>
      </c>
      <c r="F65" s="2">
        <v>32.470916639999999</v>
      </c>
      <c r="G65" s="2">
        <v>104.87055220000001</v>
      </c>
      <c r="H65" s="2" t="s">
        <v>310</v>
      </c>
      <c r="I65" s="2" t="s">
        <v>257</v>
      </c>
      <c r="J65" s="2" t="s">
        <v>108</v>
      </c>
      <c r="K65" s="2" t="s">
        <v>311</v>
      </c>
      <c r="L65" s="2" t="s">
        <v>312</v>
      </c>
      <c r="M65" s="4" t="s">
        <v>111</v>
      </c>
      <c r="N65" s="4">
        <f>95.9774/233.9121*50</f>
        <v>20.515697990826467</v>
      </c>
      <c r="O65" s="2"/>
      <c r="P65" s="2" t="s">
        <v>313</v>
      </c>
      <c r="Q65" s="2"/>
      <c r="R65" s="1"/>
      <c r="S65" s="1"/>
      <c r="T65" s="1"/>
      <c r="U65" s="1"/>
      <c r="V65" s="1"/>
      <c r="W65" s="1"/>
      <c r="X65" s="1"/>
      <c r="Y65" s="1"/>
    </row>
    <row r="66" spans="1:25" ht="28" x14ac:dyDescent="0.15">
      <c r="A66" s="2">
        <v>64</v>
      </c>
      <c r="B66" s="2" t="s">
        <v>314</v>
      </c>
      <c r="C66" s="2" t="s">
        <v>315</v>
      </c>
      <c r="D66" s="2">
        <v>32.65</v>
      </c>
      <c r="E66" s="2">
        <v>158.51</v>
      </c>
      <c r="F66" s="2">
        <v>23.522712169999998</v>
      </c>
      <c r="G66" s="2">
        <v>-171.0359546</v>
      </c>
      <c r="H66" s="2" t="s">
        <v>316</v>
      </c>
      <c r="I66" s="2" t="s">
        <v>49</v>
      </c>
      <c r="J66" s="2" t="s">
        <v>108</v>
      </c>
      <c r="K66" s="2" t="s">
        <v>317</v>
      </c>
      <c r="L66" s="2" t="s">
        <v>318</v>
      </c>
      <c r="M66" s="4" t="s">
        <v>111</v>
      </c>
      <c r="N66" s="4">
        <f>0.6/215.0432*202.85</f>
        <v>0.56597930090326021</v>
      </c>
      <c r="O66" s="2"/>
      <c r="P66" s="2" t="s">
        <v>319</v>
      </c>
      <c r="Q66" s="2" t="s">
        <v>320</v>
      </c>
      <c r="R66" s="1"/>
      <c r="S66" s="1"/>
      <c r="T66" s="1"/>
      <c r="U66" s="1"/>
      <c r="V66" s="1"/>
      <c r="W66" s="1"/>
      <c r="X66" s="1"/>
      <c r="Y66" s="1"/>
    </row>
    <row r="67" spans="1:25" ht="28" x14ac:dyDescent="0.15">
      <c r="A67" s="2">
        <v>65</v>
      </c>
      <c r="B67" s="2" t="s">
        <v>321</v>
      </c>
      <c r="C67" s="2" t="s">
        <v>315</v>
      </c>
      <c r="D67" s="2">
        <v>32.5</v>
      </c>
      <c r="E67" s="2">
        <v>158.5</v>
      </c>
      <c r="F67" s="2">
        <v>23.374106640000001</v>
      </c>
      <c r="G67" s="2">
        <v>-171.0600192</v>
      </c>
      <c r="H67" s="2" t="s">
        <v>322</v>
      </c>
      <c r="I67" s="2" t="s">
        <v>49</v>
      </c>
      <c r="J67" s="2" t="s">
        <v>108</v>
      </c>
      <c r="K67" s="2" t="s">
        <v>317</v>
      </c>
      <c r="L67" s="2" t="s">
        <v>318</v>
      </c>
      <c r="M67" s="4" t="s">
        <v>111</v>
      </c>
      <c r="N67" s="4">
        <f>0.6/215.0432*193.5389</f>
        <v>0.54000005580274102</v>
      </c>
      <c r="O67" s="2"/>
      <c r="P67" s="2" t="s">
        <v>319</v>
      </c>
      <c r="Q67" s="2" t="s">
        <v>320</v>
      </c>
      <c r="R67" s="1"/>
      <c r="S67" s="1"/>
      <c r="T67" s="1"/>
      <c r="U67" s="1"/>
      <c r="V67" s="1"/>
      <c r="W67" s="1"/>
      <c r="X67" s="1"/>
      <c r="Y67" s="1"/>
    </row>
    <row r="68" spans="1:25" ht="28" x14ac:dyDescent="0.15">
      <c r="A68" s="2">
        <v>66</v>
      </c>
      <c r="B68" s="2" t="s">
        <v>323</v>
      </c>
      <c r="C68" s="2" t="s">
        <v>324</v>
      </c>
      <c r="D68" s="2">
        <v>32.36</v>
      </c>
      <c r="E68" s="2">
        <v>-88.68</v>
      </c>
      <c r="F68" s="2">
        <v>34.948115790000003</v>
      </c>
      <c r="G68" s="2">
        <v>-72.364042310000002</v>
      </c>
      <c r="H68" s="2" t="s">
        <v>325</v>
      </c>
      <c r="I68" s="2" t="s">
        <v>83</v>
      </c>
      <c r="J68" s="2" t="s">
        <v>20</v>
      </c>
      <c r="K68" s="2" t="s">
        <v>675</v>
      </c>
      <c r="L68" s="2" t="s">
        <v>326</v>
      </c>
      <c r="M68" s="4" t="s">
        <v>56</v>
      </c>
      <c r="N68" s="4">
        <v>3.07508939</v>
      </c>
      <c r="O68" s="2" t="s">
        <v>51</v>
      </c>
      <c r="P68" s="2" t="s">
        <v>327</v>
      </c>
      <c r="Q68" s="2" t="s">
        <v>328</v>
      </c>
      <c r="R68" s="1"/>
      <c r="S68" s="1"/>
      <c r="T68" s="1"/>
      <c r="U68" s="1"/>
      <c r="V68" s="1"/>
      <c r="W68" s="1"/>
      <c r="X68" s="1"/>
      <c r="Y68" s="1"/>
    </row>
    <row r="69" spans="1:25" ht="28" x14ac:dyDescent="0.15">
      <c r="A69" s="2">
        <v>67</v>
      </c>
      <c r="B69" s="2" t="s">
        <v>329</v>
      </c>
      <c r="C69" s="2" t="s">
        <v>315</v>
      </c>
      <c r="D69" s="2">
        <v>32.22</v>
      </c>
      <c r="E69" s="2">
        <v>158.5</v>
      </c>
      <c r="F69" s="2">
        <v>23.09527108</v>
      </c>
      <c r="G69" s="2">
        <v>-171.08778029999999</v>
      </c>
      <c r="H69" s="2" t="s">
        <v>330</v>
      </c>
      <c r="I69" s="2" t="s">
        <v>49</v>
      </c>
      <c r="J69" s="2" t="s">
        <v>108</v>
      </c>
      <c r="K69" s="2" t="s">
        <v>317</v>
      </c>
      <c r="L69" s="2"/>
      <c r="M69" s="4" t="s">
        <v>111</v>
      </c>
      <c r="N69" s="4">
        <v>0.1</v>
      </c>
      <c r="O69" s="2" t="s">
        <v>51</v>
      </c>
      <c r="P69" s="2" t="s">
        <v>331</v>
      </c>
      <c r="Q69" s="2" t="s">
        <v>332</v>
      </c>
      <c r="R69" s="1"/>
      <c r="S69" s="1"/>
      <c r="T69" s="1"/>
      <c r="U69" s="1"/>
      <c r="V69" s="1"/>
      <c r="W69" s="1"/>
      <c r="X69" s="1"/>
      <c r="Y69" s="1"/>
    </row>
    <row r="70" spans="1:25" ht="14" x14ac:dyDescent="0.15">
      <c r="A70" s="2">
        <v>68</v>
      </c>
      <c r="B70" s="2" t="s">
        <v>333</v>
      </c>
      <c r="C70" s="2" t="s">
        <v>334</v>
      </c>
      <c r="D70" s="2">
        <v>31.95</v>
      </c>
      <c r="E70" s="2">
        <v>-87.64</v>
      </c>
      <c r="F70" s="2">
        <v>34.382084669999998</v>
      </c>
      <c r="G70" s="2">
        <v>-71.404430140000002</v>
      </c>
      <c r="H70" s="2" t="s">
        <v>335</v>
      </c>
      <c r="I70" s="2" t="s">
        <v>83</v>
      </c>
      <c r="J70" s="2" t="s">
        <v>20</v>
      </c>
      <c r="K70" s="2"/>
      <c r="L70" s="2"/>
      <c r="M70" s="4"/>
      <c r="N70" s="4"/>
      <c r="O70" s="2"/>
      <c r="P70" s="2" t="s">
        <v>336</v>
      </c>
      <c r="Q70" s="2" t="s">
        <v>80</v>
      </c>
      <c r="R70" s="1"/>
      <c r="S70" s="1"/>
      <c r="T70" s="1"/>
      <c r="U70" s="1"/>
      <c r="V70" s="1"/>
      <c r="W70" s="1"/>
      <c r="X70" s="1"/>
      <c r="Y70" s="1"/>
    </row>
    <row r="71" spans="1:25" ht="28" x14ac:dyDescent="0.15">
      <c r="A71" s="2">
        <v>69</v>
      </c>
      <c r="B71" s="2" t="s">
        <v>337</v>
      </c>
      <c r="C71" s="2" t="s">
        <v>338</v>
      </c>
      <c r="D71" s="2">
        <v>31.64</v>
      </c>
      <c r="E71" s="2">
        <v>-95.48</v>
      </c>
      <c r="F71" s="2">
        <v>35.286508560000001</v>
      </c>
      <c r="G71" s="2">
        <v>-79.456990520000005</v>
      </c>
      <c r="H71" s="2" t="s">
        <v>339</v>
      </c>
      <c r="I71" s="2" t="s">
        <v>83</v>
      </c>
      <c r="J71" s="2" t="s">
        <v>20</v>
      </c>
      <c r="K71" s="2"/>
      <c r="L71" s="2"/>
      <c r="M71" s="4" t="s">
        <v>56</v>
      </c>
      <c r="N71" s="4">
        <f>40/84.7519*56.7537</f>
        <v>26.785806571888063</v>
      </c>
      <c r="O71" s="2"/>
      <c r="P71" s="2" t="s">
        <v>658</v>
      </c>
      <c r="Q71" s="2"/>
      <c r="R71" s="1"/>
      <c r="S71" s="1"/>
      <c r="T71" s="1"/>
      <c r="U71" s="1"/>
      <c r="V71" s="1"/>
      <c r="W71" s="1"/>
      <c r="X71" s="1"/>
      <c r="Y71" s="1"/>
    </row>
    <row r="72" spans="1:25" ht="28" x14ac:dyDescent="0.15">
      <c r="A72" s="2">
        <v>70</v>
      </c>
      <c r="B72" s="2" t="s">
        <v>340</v>
      </c>
      <c r="C72" s="2" t="s">
        <v>338</v>
      </c>
      <c r="D72" s="2">
        <v>31.53</v>
      </c>
      <c r="E72" s="2">
        <v>-95.96</v>
      </c>
      <c r="F72" s="2">
        <v>35.250510130000002</v>
      </c>
      <c r="G72" s="2">
        <v>-79.973735880000007</v>
      </c>
      <c r="H72" s="2" t="s">
        <v>339</v>
      </c>
      <c r="I72" s="2" t="s">
        <v>83</v>
      </c>
      <c r="J72" s="2" t="s">
        <v>20</v>
      </c>
      <c r="K72" s="2"/>
      <c r="L72" s="2"/>
      <c r="M72" s="4" t="s">
        <v>56</v>
      </c>
      <c r="N72" s="4">
        <f>80/189.3267*30.1504</f>
        <v>12.740051984215645</v>
      </c>
      <c r="O72" s="2"/>
      <c r="P72" s="2" t="s">
        <v>658</v>
      </c>
      <c r="Q72" s="2"/>
      <c r="R72" s="1"/>
      <c r="S72" s="1"/>
      <c r="T72" s="1"/>
      <c r="U72" s="1"/>
      <c r="V72" s="1"/>
      <c r="W72" s="1"/>
      <c r="X72" s="1"/>
      <c r="Y72" s="1"/>
    </row>
    <row r="73" spans="1:25" ht="28" x14ac:dyDescent="0.15">
      <c r="A73" s="2">
        <v>71</v>
      </c>
      <c r="B73" s="2" t="s">
        <v>341</v>
      </c>
      <c r="C73" s="2" t="s">
        <v>342</v>
      </c>
      <c r="D73" s="2">
        <v>31.46</v>
      </c>
      <c r="E73" s="2">
        <v>34.43</v>
      </c>
      <c r="F73" s="2">
        <v>20.528693090000001</v>
      </c>
      <c r="G73" s="2">
        <v>28.955748499999999</v>
      </c>
      <c r="H73" s="2" t="s">
        <v>343</v>
      </c>
      <c r="I73" s="2" t="s">
        <v>36</v>
      </c>
      <c r="J73" s="2" t="s">
        <v>108</v>
      </c>
      <c r="K73" s="2" t="s">
        <v>344</v>
      </c>
      <c r="L73" s="2" t="s">
        <v>345</v>
      </c>
      <c r="M73" s="4" t="s">
        <v>302</v>
      </c>
      <c r="N73" s="4">
        <f>7/246.0804 *22.1694</f>
        <v>0.63063047686853568</v>
      </c>
      <c r="O73" s="2"/>
      <c r="P73" s="2" t="s">
        <v>346</v>
      </c>
      <c r="Q73" s="2"/>
      <c r="R73" s="1"/>
      <c r="S73" s="1"/>
      <c r="T73" s="1"/>
      <c r="U73" s="1"/>
      <c r="V73" s="1"/>
      <c r="W73" s="1"/>
      <c r="X73" s="1"/>
      <c r="Y73" s="1"/>
    </row>
    <row r="74" spans="1:25" ht="28" x14ac:dyDescent="0.15">
      <c r="A74" s="2">
        <v>72</v>
      </c>
      <c r="B74" s="2" t="s">
        <v>347</v>
      </c>
      <c r="C74" s="2" t="s">
        <v>342</v>
      </c>
      <c r="D74" s="2">
        <v>31.43</v>
      </c>
      <c r="E74" s="2">
        <v>34.479999999999997</v>
      </c>
      <c r="F74" s="2">
        <v>20.493594170000001</v>
      </c>
      <c r="G74" s="2">
        <v>28.996929829999999</v>
      </c>
      <c r="H74" s="2" t="s">
        <v>348</v>
      </c>
      <c r="I74" s="2" t="s">
        <v>36</v>
      </c>
      <c r="J74" s="2" t="s">
        <v>108</v>
      </c>
      <c r="K74" s="2" t="s">
        <v>349</v>
      </c>
      <c r="L74" s="2" t="s">
        <v>350</v>
      </c>
      <c r="M74" s="4" t="s">
        <v>302</v>
      </c>
      <c r="N74" s="4">
        <f>10/173.8081*23.4996</f>
        <v>1.3520428564606599</v>
      </c>
      <c r="O74" s="2"/>
      <c r="P74" s="2" t="s">
        <v>346</v>
      </c>
      <c r="Q74" s="2"/>
      <c r="R74" s="1"/>
      <c r="S74" s="1"/>
      <c r="T74" s="1"/>
      <c r="U74" s="1"/>
      <c r="V74" s="1"/>
      <c r="W74" s="1"/>
      <c r="X74" s="1"/>
      <c r="Y74" s="1"/>
    </row>
    <row r="75" spans="1:25" ht="14" x14ac:dyDescent="0.15">
      <c r="A75" s="2">
        <v>73</v>
      </c>
      <c r="B75" s="2" t="s">
        <v>351</v>
      </c>
      <c r="C75" s="2" t="s">
        <v>338</v>
      </c>
      <c r="D75" s="2">
        <v>30.07</v>
      </c>
      <c r="E75" s="2">
        <v>-97.29</v>
      </c>
      <c r="F75" s="2">
        <v>34.011547530000001</v>
      </c>
      <c r="G75" s="2">
        <v>-81.649709909999999</v>
      </c>
      <c r="H75" s="2" t="s">
        <v>352</v>
      </c>
      <c r="I75" s="2" t="s">
        <v>83</v>
      </c>
      <c r="J75" s="2" t="s">
        <v>20</v>
      </c>
      <c r="K75" s="2"/>
      <c r="L75" s="2"/>
      <c r="M75" s="4"/>
      <c r="N75" s="4"/>
      <c r="O75" s="2"/>
      <c r="P75" s="5" t="s">
        <v>353</v>
      </c>
      <c r="Q75" s="2" t="s">
        <v>354</v>
      </c>
      <c r="R75" s="1"/>
      <c r="S75" s="1"/>
      <c r="T75" s="1"/>
      <c r="U75" s="1"/>
      <c r="V75" s="1"/>
      <c r="W75" s="1"/>
      <c r="X75" s="1"/>
      <c r="Y75" s="1"/>
    </row>
    <row r="76" spans="1:25" ht="28" x14ac:dyDescent="0.15">
      <c r="A76" s="2">
        <v>74</v>
      </c>
      <c r="B76" s="2" t="s">
        <v>355</v>
      </c>
      <c r="C76" s="2" t="s">
        <v>356</v>
      </c>
      <c r="D76" s="2">
        <v>30.06</v>
      </c>
      <c r="E76" s="2">
        <v>-76.36</v>
      </c>
      <c r="F76" s="2">
        <v>30.72657787</v>
      </c>
      <c r="G76" s="2">
        <v>-60.548712960000003</v>
      </c>
      <c r="H76" s="2" t="s">
        <v>357</v>
      </c>
      <c r="I76" s="2" t="s">
        <v>49</v>
      </c>
      <c r="J76" s="2" t="s">
        <v>108</v>
      </c>
      <c r="K76" s="2" t="s">
        <v>676</v>
      </c>
      <c r="L76" s="2"/>
      <c r="M76" s="4" t="s">
        <v>154</v>
      </c>
      <c r="N76" s="4">
        <f>5/492.2481*64.3411</f>
        <v>0.6535434062620048</v>
      </c>
      <c r="O76" s="2"/>
      <c r="P76" s="5" t="s">
        <v>358</v>
      </c>
      <c r="Q76" s="2" t="s">
        <v>359</v>
      </c>
      <c r="R76" s="1"/>
      <c r="S76" s="1"/>
      <c r="T76" s="1"/>
      <c r="U76" s="1"/>
      <c r="V76" s="1"/>
      <c r="W76" s="1"/>
      <c r="X76" s="1"/>
      <c r="Y76" s="1"/>
    </row>
    <row r="77" spans="1:25" ht="14" x14ac:dyDescent="0.15">
      <c r="A77" s="2">
        <v>75</v>
      </c>
      <c r="B77" s="2" t="s">
        <v>360</v>
      </c>
      <c r="C77" s="2" t="s">
        <v>361</v>
      </c>
      <c r="D77" s="2">
        <v>29.44</v>
      </c>
      <c r="E77" s="2">
        <v>-103.17</v>
      </c>
      <c r="F77" s="2">
        <v>34.242723929999997</v>
      </c>
      <c r="G77" s="2">
        <v>-87.857149750000005</v>
      </c>
      <c r="H77" s="2" t="s">
        <v>129</v>
      </c>
      <c r="I77" s="2" t="s">
        <v>130</v>
      </c>
      <c r="J77" s="2" t="s">
        <v>20</v>
      </c>
      <c r="K77" s="2"/>
      <c r="L77" s="2"/>
      <c r="M77" s="4"/>
      <c r="N77" s="4"/>
      <c r="O77" s="2"/>
      <c r="P77" s="2" t="s">
        <v>362</v>
      </c>
      <c r="Q77" s="2" t="s">
        <v>363</v>
      </c>
      <c r="R77" s="1"/>
      <c r="S77" s="1"/>
      <c r="T77" s="1"/>
      <c r="U77" s="1"/>
      <c r="V77" s="1"/>
      <c r="W77" s="1"/>
      <c r="X77" s="1"/>
      <c r="Y77" s="1"/>
    </row>
    <row r="78" spans="1:25" ht="28" x14ac:dyDescent="0.15">
      <c r="A78" s="2">
        <v>76</v>
      </c>
      <c r="B78" s="2" t="s">
        <v>364</v>
      </c>
      <c r="C78" s="2" t="s">
        <v>365</v>
      </c>
      <c r="D78" s="2">
        <v>29.07</v>
      </c>
      <c r="E78" s="2">
        <v>33.159999999999997</v>
      </c>
      <c r="F78" s="2">
        <v>18.296576380000001</v>
      </c>
      <c r="G78" s="2">
        <v>27.481644630000002</v>
      </c>
      <c r="H78" s="2" t="s">
        <v>366</v>
      </c>
      <c r="I78" s="2" t="s">
        <v>49</v>
      </c>
      <c r="J78" s="2" t="s">
        <v>108</v>
      </c>
      <c r="K78" s="2" t="s">
        <v>367</v>
      </c>
      <c r="L78" s="2" t="s">
        <v>368</v>
      </c>
      <c r="M78" s="4" t="s">
        <v>111</v>
      </c>
      <c r="N78" s="4">
        <f>3/4.9067*1.3382</f>
        <v>0.81818737644445361</v>
      </c>
      <c r="O78" s="2" t="s">
        <v>51</v>
      </c>
      <c r="P78" s="2" t="s">
        <v>369</v>
      </c>
      <c r="Q78" s="2" t="s">
        <v>370</v>
      </c>
      <c r="R78" s="1"/>
      <c r="S78" s="1"/>
      <c r="T78" s="1"/>
      <c r="U78" s="1"/>
      <c r="V78" s="1"/>
      <c r="W78" s="1"/>
      <c r="X78" s="1"/>
      <c r="Y78" s="1"/>
    </row>
    <row r="79" spans="1:25" ht="28" x14ac:dyDescent="0.15">
      <c r="A79" s="2">
        <v>77</v>
      </c>
      <c r="B79" s="2" t="s">
        <v>371</v>
      </c>
      <c r="C79" s="2" t="s">
        <v>365</v>
      </c>
      <c r="D79" s="2">
        <v>29.05</v>
      </c>
      <c r="E79" s="2">
        <v>33.17</v>
      </c>
      <c r="F79" s="2">
        <v>18.275623700000001</v>
      </c>
      <c r="G79" s="2">
        <v>27.48808476</v>
      </c>
      <c r="H79" s="2" t="s">
        <v>372</v>
      </c>
      <c r="I79" s="2" t="s">
        <v>49</v>
      </c>
      <c r="J79" s="2" t="s">
        <v>108</v>
      </c>
      <c r="K79" s="2" t="s">
        <v>373</v>
      </c>
      <c r="L79" s="2" t="s">
        <v>374</v>
      </c>
      <c r="M79" s="4" t="s">
        <v>111</v>
      </c>
      <c r="N79" s="4">
        <f>10/2.3155*0.062</f>
        <v>0.26776074282012524</v>
      </c>
      <c r="O79" s="2"/>
      <c r="P79" s="2" t="s">
        <v>375</v>
      </c>
      <c r="Q79" s="2"/>
      <c r="R79" s="1"/>
      <c r="S79" s="1"/>
      <c r="T79" s="1"/>
      <c r="U79" s="1"/>
      <c r="V79" s="1"/>
      <c r="W79" s="1"/>
      <c r="X79" s="1"/>
      <c r="Y79" s="1"/>
    </row>
    <row r="80" spans="1:25" ht="28" x14ac:dyDescent="0.15">
      <c r="A80" s="2">
        <v>78</v>
      </c>
      <c r="B80" s="2" t="s">
        <v>376</v>
      </c>
      <c r="C80" s="2" t="s">
        <v>377</v>
      </c>
      <c r="D80" s="2">
        <v>28.488610000000001</v>
      </c>
      <c r="E80" s="2">
        <v>-87.817899999999995</v>
      </c>
      <c r="F80" s="2">
        <v>31.006149659999998</v>
      </c>
      <c r="G80" s="2">
        <v>-72.331195390000005</v>
      </c>
      <c r="H80" s="2" t="s">
        <v>668</v>
      </c>
      <c r="I80" s="2" t="s">
        <v>19</v>
      </c>
      <c r="J80" s="2" t="s">
        <v>108</v>
      </c>
      <c r="K80" s="2"/>
      <c r="L80" s="2" t="s">
        <v>378</v>
      </c>
      <c r="M80" s="4" t="s">
        <v>154</v>
      </c>
      <c r="N80" s="2">
        <v>9.1</v>
      </c>
      <c r="O80" s="2"/>
      <c r="P80" s="5" t="s">
        <v>379</v>
      </c>
      <c r="Q80" s="2" t="s">
        <v>380</v>
      </c>
      <c r="R80" s="1"/>
      <c r="S80" s="1"/>
      <c r="T80" s="1"/>
      <c r="U80" s="1"/>
      <c r="V80" s="1"/>
      <c r="W80" s="1"/>
      <c r="X80" s="1"/>
      <c r="Y80" s="1"/>
    </row>
    <row r="81" spans="1:25" ht="28" x14ac:dyDescent="0.15">
      <c r="A81" s="2">
        <v>79</v>
      </c>
      <c r="B81" s="2" t="s">
        <v>381</v>
      </c>
      <c r="C81" s="2" t="s">
        <v>377</v>
      </c>
      <c r="D81" s="2">
        <v>27.544440000000002</v>
      </c>
      <c r="E81" s="2">
        <v>-87.765110000000007</v>
      </c>
      <c r="F81" s="2">
        <v>30.068677170000001</v>
      </c>
      <c r="G81" s="2">
        <v>-72.472321629999996</v>
      </c>
      <c r="H81" s="2" t="s">
        <v>382</v>
      </c>
      <c r="I81" s="2" t="s">
        <v>49</v>
      </c>
      <c r="J81" s="2" t="s">
        <v>108</v>
      </c>
      <c r="K81" s="2"/>
      <c r="L81" s="2"/>
      <c r="M81" s="4" t="s">
        <v>154</v>
      </c>
      <c r="N81" s="2">
        <v>18.3</v>
      </c>
      <c r="O81" s="2"/>
      <c r="P81" s="5" t="s">
        <v>383</v>
      </c>
      <c r="Q81" s="2" t="s">
        <v>685</v>
      </c>
      <c r="R81" s="1"/>
      <c r="S81" s="1"/>
      <c r="T81" s="1"/>
      <c r="U81" s="1"/>
      <c r="V81" s="1"/>
      <c r="W81" s="1"/>
      <c r="X81" s="1"/>
      <c r="Y81" s="1"/>
    </row>
    <row r="82" spans="1:25" ht="28" x14ac:dyDescent="0.15">
      <c r="A82" s="2">
        <v>80</v>
      </c>
      <c r="B82" s="2" t="s">
        <v>384</v>
      </c>
      <c r="C82" s="2" t="s">
        <v>377</v>
      </c>
      <c r="D82" s="2">
        <v>27.326789999999999</v>
      </c>
      <c r="E82" s="2">
        <v>-90.110709999999997</v>
      </c>
      <c r="F82" s="2">
        <v>30.219512739999999</v>
      </c>
      <c r="G82" s="2">
        <v>-74.886503379999994</v>
      </c>
      <c r="H82" s="2" t="s">
        <v>382</v>
      </c>
      <c r="I82" s="2" t="s">
        <v>49</v>
      </c>
      <c r="J82" s="2" t="s">
        <v>20</v>
      </c>
      <c r="K82" s="2"/>
      <c r="L82" s="2"/>
      <c r="M82" s="4" t="s">
        <v>154</v>
      </c>
      <c r="N82" s="2">
        <v>9.1</v>
      </c>
      <c r="O82" s="2"/>
      <c r="P82" s="5" t="s">
        <v>383</v>
      </c>
      <c r="Q82" s="2" t="s">
        <v>685</v>
      </c>
      <c r="R82" s="1"/>
      <c r="S82" s="1"/>
      <c r="T82" s="1"/>
      <c r="U82" s="1"/>
      <c r="V82" s="1"/>
      <c r="W82" s="1"/>
      <c r="X82" s="1"/>
      <c r="Y82" s="1"/>
    </row>
    <row r="83" spans="1:25" ht="28" x14ac:dyDescent="0.15">
      <c r="A83" s="2">
        <v>81</v>
      </c>
      <c r="B83" s="2" t="s">
        <v>385</v>
      </c>
      <c r="C83" s="2" t="s">
        <v>377</v>
      </c>
      <c r="D83" s="5">
        <v>27.18</v>
      </c>
      <c r="E83" s="5">
        <v>-91.24</v>
      </c>
      <c r="F83" s="2">
        <v>30.249231389999998</v>
      </c>
      <c r="G83" s="2">
        <v>-76.060345310000002</v>
      </c>
      <c r="H83" s="2" t="s">
        <v>386</v>
      </c>
      <c r="I83" s="2" t="s">
        <v>49</v>
      </c>
      <c r="J83" s="2" t="s">
        <v>20</v>
      </c>
      <c r="K83" s="2" t="s">
        <v>387</v>
      </c>
      <c r="L83" s="2" t="s">
        <v>388</v>
      </c>
      <c r="M83" s="4" t="s">
        <v>31</v>
      </c>
      <c r="N83" s="4">
        <f>(31622-31578)*0.3048</f>
        <v>13.411200000000001</v>
      </c>
      <c r="O83" s="2"/>
      <c r="P83" s="2" t="s">
        <v>389</v>
      </c>
      <c r="Q83" s="2"/>
      <c r="R83" s="1"/>
      <c r="S83" s="1"/>
      <c r="T83" s="1"/>
      <c r="U83" s="1"/>
      <c r="V83" s="1"/>
      <c r="W83" s="1"/>
      <c r="X83" s="1"/>
      <c r="Y83" s="1"/>
    </row>
    <row r="84" spans="1:25" ht="28" x14ac:dyDescent="0.15">
      <c r="A84" s="2">
        <v>82</v>
      </c>
      <c r="B84" s="2" t="s">
        <v>390</v>
      </c>
      <c r="C84" s="2" t="s">
        <v>377</v>
      </c>
      <c r="D84" s="2">
        <v>27.144480000000001</v>
      </c>
      <c r="E84" s="2">
        <v>-90.267759999999996</v>
      </c>
      <c r="F84" s="2">
        <v>30.064280950000001</v>
      </c>
      <c r="G84" s="2">
        <v>-75.082193970000006</v>
      </c>
      <c r="H84" s="2" t="s">
        <v>382</v>
      </c>
      <c r="I84" s="2" t="s">
        <v>49</v>
      </c>
      <c r="J84" s="2" t="s">
        <v>20</v>
      </c>
      <c r="K84" s="2"/>
      <c r="L84" s="2"/>
      <c r="M84" s="4" t="s">
        <v>154</v>
      </c>
      <c r="N84" s="4">
        <v>8.1999999999999993</v>
      </c>
      <c r="O84" s="2"/>
      <c r="P84" s="5" t="s">
        <v>383</v>
      </c>
      <c r="Q84" s="2" t="s">
        <v>380</v>
      </c>
      <c r="R84" s="1"/>
      <c r="S84" s="1"/>
      <c r="T84" s="1"/>
      <c r="U84" s="1"/>
      <c r="V84" s="1"/>
      <c r="W84" s="1"/>
      <c r="X84" s="1"/>
      <c r="Y84" s="1"/>
    </row>
    <row r="85" spans="1:25" ht="28" x14ac:dyDescent="0.15">
      <c r="A85" s="2">
        <v>83</v>
      </c>
      <c r="B85" s="2" t="s">
        <v>391</v>
      </c>
      <c r="C85" s="2" t="s">
        <v>377</v>
      </c>
      <c r="D85" s="2">
        <v>27.129940000000001</v>
      </c>
      <c r="E85" s="2">
        <v>-91.387420000000006</v>
      </c>
      <c r="F85" s="2">
        <v>30.222597</v>
      </c>
      <c r="G85" s="2">
        <v>-76.219900330000002</v>
      </c>
      <c r="H85" s="2" t="s">
        <v>382</v>
      </c>
      <c r="I85" s="2" t="s">
        <v>49</v>
      </c>
      <c r="J85" s="2" t="s">
        <v>20</v>
      </c>
      <c r="K85" s="2"/>
      <c r="L85" s="2"/>
      <c r="M85" s="4" t="s">
        <v>154</v>
      </c>
      <c r="N85" s="4">
        <v>9.6999999999999993</v>
      </c>
      <c r="O85" s="2"/>
      <c r="P85" s="5" t="s">
        <v>383</v>
      </c>
      <c r="Q85" s="2" t="s">
        <v>685</v>
      </c>
      <c r="R85" s="1"/>
      <c r="S85" s="1"/>
      <c r="T85" s="1"/>
      <c r="U85" s="1"/>
      <c r="V85" s="1"/>
      <c r="W85" s="1"/>
      <c r="X85" s="1"/>
      <c r="Y85" s="1"/>
    </row>
    <row r="86" spans="1:25" ht="14" x14ac:dyDescent="0.15">
      <c r="A86" s="2">
        <v>84</v>
      </c>
      <c r="B86" s="2" t="s">
        <v>392</v>
      </c>
      <c r="C86" s="2" t="s">
        <v>309</v>
      </c>
      <c r="D86" s="2">
        <v>27.08</v>
      </c>
      <c r="E86" s="2">
        <v>111.95</v>
      </c>
      <c r="F86" s="2">
        <v>27.452628229999998</v>
      </c>
      <c r="G86" s="2">
        <v>107.9088261</v>
      </c>
      <c r="H86" s="2" t="s">
        <v>393</v>
      </c>
      <c r="I86" s="2" t="s">
        <v>130</v>
      </c>
      <c r="J86" s="2" t="s">
        <v>20</v>
      </c>
      <c r="K86" s="2" t="s">
        <v>394</v>
      </c>
      <c r="L86" s="2" t="s">
        <v>395</v>
      </c>
      <c r="M86" s="4" t="s">
        <v>154</v>
      </c>
      <c r="N86" s="4">
        <f>600/209.0226*16.069</f>
        <v>46.126112678724688</v>
      </c>
      <c r="O86" s="2"/>
      <c r="P86" s="2" t="s">
        <v>396</v>
      </c>
      <c r="Q86" s="2"/>
      <c r="R86" s="1"/>
      <c r="S86" s="1"/>
      <c r="T86" s="1"/>
      <c r="U86" s="1"/>
      <c r="V86" s="1"/>
      <c r="W86" s="1"/>
      <c r="X86" s="1"/>
      <c r="Y86" s="1"/>
    </row>
    <row r="87" spans="1:25" ht="28" x14ac:dyDescent="0.15">
      <c r="A87" s="2">
        <v>85</v>
      </c>
      <c r="B87" s="2" t="s">
        <v>397</v>
      </c>
      <c r="C87" s="2" t="s">
        <v>377</v>
      </c>
      <c r="D87" s="2">
        <v>26.8691</v>
      </c>
      <c r="E87" s="2">
        <v>-91.566630000000004</v>
      </c>
      <c r="F87" s="2">
        <v>29.993195759999999</v>
      </c>
      <c r="G87" s="2">
        <v>-76.453706280000006</v>
      </c>
      <c r="H87" s="2" t="s">
        <v>382</v>
      </c>
      <c r="I87" s="2" t="s">
        <v>49</v>
      </c>
      <c r="J87" s="2" t="s">
        <v>20</v>
      </c>
      <c r="K87" s="2"/>
      <c r="L87" s="2"/>
      <c r="M87" s="4" t="s">
        <v>154</v>
      </c>
      <c r="N87" s="4">
        <v>44.5</v>
      </c>
      <c r="O87" s="2"/>
      <c r="P87" s="5" t="s">
        <v>383</v>
      </c>
      <c r="Q87" s="2" t="s">
        <v>685</v>
      </c>
      <c r="R87" s="1"/>
      <c r="S87" s="1"/>
      <c r="T87" s="1"/>
      <c r="U87" s="1"/>
      <c r="V87" s="1"/>
      <c r="W87" s="1"/>
      <c r="X87" s="1"/>
      <c r="Y87" s="1"/>
    </row>
    <row r="88" spans="1:25" ht="28" x14ac:dyDescent="0.15">
      <c r="A88" s="2">
        <v>86</v>
      </c>
      <c r="B88" s="2" t="s">
        <v>398</v>
      </c>
      <c r="C88" s="2" t="s">
        <v>377</v>
      </c>
      <c r="D88" s="2">
        <v>26.40504</v>
      </c>
      <c r="E88" s="2">
        <v>-94.512090000000001</v>
      </c>
      <c r="F88" s="2">
        <v>29.98412583</v>
      </c>
      <c r="G88" s="2">
        <v>-79.540355079999998</v>
      </c>
      <c r="H88" s="2" t="s">
        <v>382</v>
      </c>
      <c r="I88" s="2" t="s">
        <v>49</v>
      </c>
      <c r="J88" s="2" t="s">
        <v>20</v>
      </c>
      <c r="K88" s="2"/>
      <c r="L88" s="2"/>
      <c r="M88" s="4" t="s">
        <v>154</v>
      </c>
      <c r="N88" s="4">
        <v>131.1</v>
      </c>
      <c r="O88" s="2"/>
      <c r="P88" s="5" t="s">
        <v>383</v>
      </c>
      <c r="Q88" s="2" t="s">
        <v>380</v>
      </c>
      <c r="R88" s="1"/>
      <c r="S88" s="1"/>
      <c r="T88" s="1"/>
      <c r="U88" s="1"/>
      <c r="V88" s="1"/>
      <c r="W88" s="1"/>
      <c r="X88" s="1"/>
      <c r="Y88" s="1"/>
    </row>
    <row r="89" spans="1:25" ht="28" x14ac:dyDescent="0.15">
      <c r="A89" s="2">
        <v>87</v>
      </c>
      <c r="B89" s="2" t="s">
        <v>399</v>
      </c>
      <c r="C89" s="2" t="s">
        <v>377</v>
      </c>
      <c r="D89" s="2">
        <v>26.371210000000001</v>
      </c>
      <c r="E89" s="2">
        <v>-92.745739999999998</v>
      </c>
      <c r="F89" s="2">
        <v>29.683029309999998</v>
      </c>
      <c r="G89" s="2">
        <v>-77.74921664</v>
      </c>
      <c r="H89" s="2" t="s">
        <v>382</v>
      </c>
      <c r="I89" s="2" t="s">
        <v>49</v>
      </c>
      <c r="J89" s="2" t="s">
        <v>20</v>
      </c>
      <c r="K89" s="2"/>
      <c r="L89" s="2"/>
      <c r="M89" s="4" t="s">
        <v>154</v>
      </c>
      <c r="N89" s="4">
        <v>18.3</v>
      </c>
      <c r="O89" s="2"/>
      <c r="P89" s="5" t="s">
        <v>383</v>
      </c>
      <c r="Q89" s="2" t="s">
        <v>685</v>
      </c>
      <c r="R89" s="1"/>
      <c r="S89" s="1"/>
      <c r="T89" s="1"/>
      <c r="U89" s="1"/>
      <c r="V89" s="1"/>
      <c r="W89" s="1"/>
      <c r="X89" s="1"/>
      <c r="Y89" s="1"/>
    </row>
    <row r="90" spans="1:25" ht="28" x14ac:dyDescent="0.15">
      <c r="A90" s="2">
        <v>88</v>
      </c>
      <c r="B90" s="2" t="s">
        <v>400</v>
      </c>
      <c r="C90" s="2" t="s">
        <v>377</v>
      </c>
      <c r="D90" s="2">
        <v>26.299969999999998</v>
      </c>
      <c r="E90" s="2">
        <v>-92.911429999999996</v>
      </c>
      <c r="F90" s="2">
        <v>29.638065579999999</v>
      </c>
      <c r="G90" s="2">
        <v>-77.931548379999995</v>
      </c>
      <c r="H90" s="2" t="s">
        <v>382</v>
      </c>
      <c r="I90" s="2" t="s">
        <v>49</v>
      </c>
      <c r="J90" s="2" t="s">
        <v>20</v>
      </c>
      <c r="K90" s="2"/>
      <c r="L90" s="2"/>
      <c r="M90" s="4" t="s">
        <v>154</v>
      </c>
      <c r="N90" s="4">
        <v>42.7</v>
      </c>
      <c r="O90" s="2"/>
      <c r="P90" s="5" t="s">
        <v>383</v>
      </c>
      <c r="Q90" s="2" t="s">
        <v>380</v>
      </c>
      <c r="R90" s="1"/>
      <c r="S90" s="1"/>
      <c r="T90" s="1"/>
      <c r="U90" s="1"/>
      <c r="V90" s="1"/>
      <c r="W90" s="1"/>
      <c r="X90" s="1"/>
      <c r="Y90" s="1"/>
    </row>
    <row r="91" spans="1:25" ht="28" x14ac:dyDescent="0.15">
      <c r="A91" s="2">
        <v>89</v>
      </c>
      <c r="B91" s="2" t="s">
        <v>401</v>
      </c>
      <c r="C91" s="2" t="s">
        <v>402</v>
      </c>
      <c r="D91" s="2">
        <v>26</v>
      </c>
      <c r="E91" s="2">
        <v>147.9</v>
      </c>
      <c r="F91" s="2">
        <v>17.875222669999999</v>
      </c>
      <c r="G91" s="2">
        <v>178.39225149999999</v>
      </c>
      <c r="H91" s="2" t="s">
        <v>669</v>
      </c>
      <c r="I91" s="2" t="s">
        <v>49</v>
      </c>
      <c r="J91" s="2" t="s">
        <v>108</v>
      </c>
      <c r="K91" s="2" t="s">
        <v>403</v>
      </c>
      <c r="L91" s="2" t="s">
        <v>404</v>
      </c>
      <c r="M91" s="4" t="s">
        <v>111</v>
      </c>
      <c r="N91" s="4">
        <f>20/119.9004*4.721</f>
        <v>0.78748694749975812</v>
      </c>
      <c r="O91" s="2"/>
      <c r="P91" s="2" t="s">
        <v>405</v>
      </c>
      <c r="Q91" s="2"/>
      <c r="R91" s="1"/>
      <c r="S91" s="1"/>
      <c r="T91" s="1"/>
      <c r="U91" s="1"/>
      <c r="V91" s="1"/>
      <c r="W91" s="1"/>
      <c r="X91" s="1"/>
      <c r="Y91" s="1"/>
    </row>
    <row r="92" spans="1:25" ht="42" x14ac:dyDescent="0.15">
      <c r="A92" s="2">
        <v>90</v>
      </c>
      <c r="B92" s="2" t="s">
        <v>406</v>
      </c>
      <c r="C92" s="2" t="s">
        <v>377</v>
      </c>
      <c r="D92" s="2">
        <v>25.980509999999999</v>
      </c>
      <c r="E92" s="2">
        <v>-91.843199999999996</v>
      </c>
      <c r="F92" s="2">
        <v>29.160139740000002</v>
      </c>
      <c r="G92" s="2">
        <v>-76.909240460000007</v>
      </c>
      <c r="H92" s="2" t="s">
        <v>382</v>
      </c>
      <c r="I92" s="2" t="s">
        <v>49</v>
      </c>
      <c r="J92" s="2" t="s">
        <v>20</v>
      </c>
      <c r="K92" s="14" t="s">
        <v>693</v>
      </c>
      <c r="L92" s="2" t="s">
        <v>691</v>
      </c>
      <c r="M92" s="4" t="s">
        <v>31</v>
      </c>
      <c r="N92" s="4">
        <v>195</v>
      </c>
      <c r="O92" s="2"/>
      <c r="P92" s="5" t="s">
        <v>692</v>
      </c>
      <c r="Q92" s="2" t="s">
        <v>690</v>
      </c>
      <c r="R92" s="1"/>
      <c r="S92" s="1"/>
      <c r="T92" s="1"/>
      <c r="U92" s="1"/>
      <c r="V92" s="1"/>
      <c r="W92" s="1"/>
      <c r="X92" s="1"/>
      <c r="Y92" s="1"/>
    </row>
    <row r="93" spans="1:25" ht="42" x14ac:dyDescent="0.15">
      <c r="A93" s="2">
        <v>91</v>
      </c>
      <c r="B93" s="2" t="s">
        <v>407</v>
      </c>
      <c r="C93" s="2" t="s">
        <v>365</v>
      </c>
      <c r="D93" s="2">
        <v>25.5</v>
      </c>
      <c r="E93" s="2">
        <v>32.520000000000003</v>
      </c>
      <c r="F93" s="2">
        <v>14.819485350000001</v>
      </c>
      <c r="G93" s="2">
        <v>27.153601649999999</v>
      </c>
      <c r="H93" s="2" t="s">
        <v>408</v>
      </c>
      <c r="I93" s="2" t="s">
        <v>36</v>
      </c>
      <c r="J93" s="2" t="s">
        <v>20</v>
      </c>
      <c r="K93" s="2" t="s">
        <v>409</v>
      </c>
      <c r="L93" s="2" t="s">
        <v>410</v>
      </c>
      <c r="M93" s="4" t="s">
        <v>31</v>
      </c>
      <c r="N93" s="4">
        <f>4/2.4027*1.8958</f>
        <v>3.1561160361260248</v>
      </c>
      <c r="O93" s="2"/>
      <c r="P93" s="5" t="s">
        <v>411</v>
      </c>
      <c r="Q93" s="2"/>
      <c r="R93" s="1"/>
      <c r="S93" s="1"/>
      <c r="T93" s="1"/>
      <c r="U93" s="1"/>
      <c r="V93" s="1"/>
      <c r="W93" s="1"/>
      <c r="X93" s="1"/>
      <c r="Y93" s="1"/>
    </row>
    <row r="94" spans="1:25" ht="14" x14ac:dyDescent="0.15">
      <c r="A94" s="2">
        <v>92</v>
      </c>
      <c r="B94" s="2" t="s">
        <v>412</v>
      </c>
      <c r="C94" s="2" t="s">
        <v>413</v>
      </c>
      <c r="D94" s="2">
        <v>25.28</v>
      </c>
      <c r="E94" s="2">
        <v>91.71</v>
      </c>
      <c r="F94" s="2">
        <v>-8.7324526430000002</v>
      </c>
      <c r="G94" s="2">
        <v>79.675932439999997</v>
      </c>
      <c r="H94" s="2" t="s">
        <v>414</v>
      </c>
      <c r="I94" s="2" t="s">
        <v>83</v>
      </c>
      <c r="J94" s="2" t="s">
        <v>20</v>
      </c>
      <c r="K94" s="2" t="s">
        <v>415</v>
      </c>
      <c r="L94" s="2" t="s">
        <v>416</v>
      </c>
      <c r="M94" s="4" t="s">
        <v>23</v>
      </c>
      <c r="N94" s="4">
        <f>1/30.9263*15.7957</f>
        <v>0.51075298370642463</v>
      </c>
      <c r="O94" s="2"/>
      <c r="P94" s="2" t="s">
        <v>417</v>
      </c>
      <c r="Q94" s="2"/>
      <c r="R94" s="1"/>
      <c r="S94" s="1"/>
      <c r="T94" s="1"/>
      <c r="U94" s="1"/>
      <c r="V94" s="1"/>
      <c r="W94" s="1"/>
      <c r="X94" s="1"/>
      <c r="Y94" s="1"/>
    </row>
    <row r="95" spans="1:25" ht="28" x14ac:dyDescent="0.15">
      <c r="A95" s="2">
        <v>93</v>
      </c>
      <c r="B95" s="2" t="s">
        <v>418</v>
      </c>
      <c r="C95" s="2" t="s">
        <v>365</v>
      </c>
      <c r="D95" s="2">
        <v>25.25</v>
      </c>
      <c r="E95" s="2">
        <v>32.75</v>
      </c>
      <c r="F95" s="2">
        <v>14.555782519999999</v>
      </c>
      <c r="G95" s="2">
        <v>27.350144740000001</v>
      </c>
      <c r="H95" s="2" t="s">
        <v>419</v>
      </c>
      <c r="I95" s="2" t="s">
        <v>19</v>
      </c>
      <c r="J95" s="2" t="s">
        <v>108</v>
      </c>
      <c r="K95" s="2" t="s">
        <v>415</v>
      </c>
      <c r="L95" s="2" t="s">
        <v>420</v>
      </c>
      <c r="M95" s="4" t="s">
        <v>111</v>
      </c>
      <c r="N95" s="4">
        <f>10/2.712*0.0924</f>
        <v>0.34070796460176989</v>
      </c>
      <c r="O95" s="2"/>
      <c r="P95" s="2" t="s">
        <v>686</v>
      </c>
      <c r="Q95" s="2"/>
      <c r="R95" s="1"/>
      <c r="S95" s="1"/>
      <c r="T95" s="1"/>
      <c r="U95" s="1"/>
      <c r="V95" s="1"/>
      <c r="W95" s="1"/>
      <c r="X95" s="1"/>
      <c r="Y95" s="1"/>
    </row>
    <row r="96" spans="1:25" ht="14" x14ac:dyDescent="0.15">
      <c r="A96" s="2">
        <v>94</v>
      </c>
      <c r="B96" s="2" t="s">
        <v>421</v>
      </c>
      <c r="C96" s="2" t="s">
        <v>422</v>
      </c>
      <c r="D96" s="2">
        <v>21.57</v>
      </c>
      <c r="E96" s="2">
        <v>73.16</v>
      </c>
      <c r="F96" s="2">
        <v>-7.2730279910000002</v>
      </c>
      <c r="G96" s="2">
        <v>62.160201649999998</v>
      </c>
      <c r="H96" s="2" t="s">
        <v>423</v>
      </c>
      <c r="I96" s="2" t="s">
        <v>83</v>
      </c>
      <c r="J96" s="2" t="s">
        <v>20</v>
      </c>
      <c r="K96" s="2" t="s">
        <v>424</v>
      </c>
      <c r="L96" s="2" t="s">
        <v>425</v>
      </c>
      <c r="M96" s="4" t="s">
        <v>154</v>
      </c>
      <c r="N96" s="4">
        <f>50/34.4974*6.0689</f>
        <v>8.7961701461559425</v>
      </c>
      <c r="O96" s="2"/>
      <c r="P96" s="2" t="s">
        <v>426</v>
      </c>
      <c r="Q96" s="2" t="s">
        <v>427</v>
      </c>
      <c r="R96" s="1"/>
      <c r="S96" s="1"/>
      <c r="T96" s="1"/>
      <c r="U96" s="1"/>
      <c r="V96" s="1"/>
      <c r="W96" s="1"/>
      <c r="X96" s="1"/>
      <c r="Y96" s="1"/>
    </row>
    <row r="97" spans="1:25" ht="28" x14ac:dyDescent="0.15">
      <c r="A97" s="2">
        <v>95</v>
      </c>
      <c r="B97" s="2" t="s">
        <v>428</v>
      </c>
      <c r="C97" s="2" t="s">
        <v>661</v>
      </c>
      <c r="D97" s="2">
        <f>21+(27.009/60)</f>
        <v>21.450150000000001</v>
      </c>
      <c r="E97" s="2">
        <f>-(89+56.962/60)</f>
        <v>-89.949366666666663</v>
      </c>
      <c r="F97" s="2">
        <v>24.63087638</v>
      </c>
      <c r="G97" s="2">
        <v>-75.106619890000005</v>
      </c>
      <c r="H97" s="2" t="s">
        <v>429</v>
      </c>
      <c r="I97" s="2" t="s">
        <v>49</v>
      </c>
      <c r="J97" s="2" t="s">
        <v>108</v>
      </c>
      <c r="K97" s="2" t="s">
        <v>430</v>
      </c>
      <c r="L97" s="2" t="s">
        <v>431</v>
      </c>
      <c r="M97" s="4" t="s">
        <v>111</v>
      </c>
      <c r="N97" s="4">
        <f>1/166.6031*34.9168</f>
        <v>0.20958073409198266</v>
      </c>
      <c r="O97" s="2"/>
      <c r="P97" s="2" t="s">
        <v>432</v>
      </c>
      <c r="Q97" s="2"/>
      <c r="R97" s="1"/>
      <c r="S97" s="1"/>
      <c r="T97" s="1"/>
      <c r="U97" s="1"/>
      <c r="V97" s="1"/>
      <c r="W97" s="1"/>
      <c r="X97" s="1"/>
      <c r="Y97" s="1"/>
    </row>
    <row r="98" spans="1:25" ht="28" x14ac:dyDescent="0.15">
      <c r="A98" s="2">
        <v>96</v>
      </c>
      <c r="B98" s="2" t="s">
        <v>433</v>
      </c>
      <c r="C98" s="2" t="s">
        <v>422</v>
      </c>
      <c r="D98" s="2">
        <v>21.44</v>
      </c>
      <c r="E98" s="2">
        <v>73.12</v>
      </c>
      <c r="F98" s="2">
        <v>-7.3797371890000001</v>
      </c>
      <c r="G98" s="2">
        <v>62.076462980000002</v>
      </c>
      <c r="H98" s="2" t="s">
        <v>423</v>
      </c>
      <c r="I98" s="2" t="s">
        <v>83</v>
      </c>
      <c r="J98" s="2" t="s">
        <v>20</v>
      </c>
      <c r="K98" s="2" t="s">
        <v>434</v>
      </c>
      <c r="L98" s="2" t="s">
        <v>680</v>
      </c>
      <c r="M98" s="4" t="s">
        <v>31</v>
      </c>
      <c r="N98" s="4">
        <f>100/102.4226*40.2375</f>
        <v>39.285763103065136</v>
      </c>
      <c r="O98" s="2"/>
      <c r="P98" s="2" t="s">
        <v>426</v>
      </c>
      <c r="Q98" s="2"/>
      <c r="R98" s="1"/>
      <c r="S98" s="1"/>
      <c r="T98" s="1"/>
      <c r="U98" s="1"/>
      <c r="V98" s="1"/>
      <c r="W98" s="1"/>
      <c r="X98" s="1"/>
      <c r="Y98" s="1"/>
    </row>
    <row r="99" spans="1:25" ht="14" x14ac:dyDescent="0.15">
      <c r="A99" s="2">
        <v>97</v>
      </c>
      <c r="B99" s="2" t="s">
        <v>435</v>
      </c>
      <c r="C99" s="2" t="s">
        <v>436</v>
      </c>
      <c r="D99" s="2">
        <v>20.670428364808998</v>
      </c>
      <c r="E99" s="2">
        <v>-89.9267382756736</v>
      </c>
      <c r="F99" s="2">
        <v>23.8589193</v>
      </c>
      <c r="G99" s="2">
        <v>-75.229210550000005</v>
      </c>
      <c r="H99" s="2" t="s">
        <v>670</v>
      </c>
      <c r="I99" s="2" t="s">
        <v>49</v>
      </c>
      <c r="J99" s="2" t="s">
        <v>108</v>
      </c>
      <c r="K99" s="2" t="s">
        <v>437</v>
      </c>
      <c r="L99" s="2" t="s">
        <v>438</v>
      </c>
      <c r="M99" s="4" t="s">
        <v>23</v>
      </c>
      <c r="N99" s="4">
        <f>60/203.5151*50.9896</f>
        <v>15.032673251272266</v>
      </c>
      <c r="O99" s="2"/>
      <c r="P99" s="2" t="s">
        <v>439</v>
      </c>
      <c r="Q99" s="2" t="s">
        <v>440</v>
      </c>
      <c r="R99" s="1"/>
      <c r="S99" s="1"/>
      <c r="T99" s="1"/>
      <c r="U99" s="1"/>
      <c r="V99" s="1"/>
      <c r="W99" s="1"/>
      <c r="X99" s="1"/>
      <c r="Y99" s="1"/>
    </row>
    <row r="100" spans="1:25" ht="14" x14ac:dyDescent="0.15">
      <c r="A100" s="2">
        <v>98</v>
      </c>
      <c r="B100" s="2" t="s">
        <v>441</v>
      </c>
      <c r="C100" s="2" t="s">
        <v>442</v>
      </c>
      <c r="D100" s="2">
        <v>18.43</v>
      </c>
      <c r="E100" s="2">
        <v>-179.55</v>
      </c>
      <c r="F100" s="2">
        <v>8.2610073929999999</v>
      </c>
      <c r="G100" s="2">
        <v>-151.31398239999999</v>
      </c>
      <c r="H100" s="2" t="s">
        <v>443</v>
      </c>
      <c r="I100" s="2" t="s">
        <v>49</v>
      </c>
      <c r="J100" s="2" t="s">
        <v>108</v>
      </c>
      <c r="K100" s="2" t="s">
        <v>444</v>
      </c>
      <c r="L100" s="2" t="s">
        <v>445</v>
      </c>
      <c r="M100" s="4" t="s">
        <v>23</v>
      </c>
      <c r="N100" s="4">
        <f>5/149.6435*49.2274</f>
        <v>1.6448225282087094</v>
      </c>
      <c r="O100" s="2"/>
      <c r="P100" s="2" t="s">
        <v>446</v>
      </c>
      <c r="Q100" s="2"/>
      <c r="R100" s="1"/>
      <c r="S100" s="1"/>
      <c r="T100" s="1"/>
      <c r="U100" s="1"/>
      <c r="V100" s="1"/>
      <c r="W100" s="1"/>
      <c r="X100" s="1"/>
      <c r="Y100" s="1"/>
    </row>
    <row r="101" spans="1:25" ht="28" x14ac:dyDescent="0.15">
      <c r="A101" s="2">
        <v>99</v>
      </c>
      <c r="B101" s="2" t="s">
        <v>447</v>
      </c>
      <c r="C101" s="2" t="s">
        <v>448</v>
      </c>
      <c r="D101" s="2">
        <v>15.75</v>
      </c>
      <c r="E101" s="2">
        <v>-74.92</v>
      </c>
      <c r="F101" s="2">
        <v>15.35535496</v>
      </c>
      <c r="G101" s="2">
        <v>-71.951061820000007</v>
      </c>
      <c r="H101" s="2" t="s">
        <v>671</v>
      </c>
      <c r="I101" s="2" t="s">
        <v>49</v>
      </c>
      <c r="J101" s="2" t="s">
        <v>108</v>
      </c>
      <c r="K101" s="2" t="s">
        <v>124</v>
      </c>
      <c r="L101" s="2" t="s">
        <v>449</v>
      </c>
      <c r="M101" s="4" t="s">
        <v>111</v>
      </c>
      <c r="N101" s="4">
        <f>6/258.0518*56.532</f>
        <v>1.3144337687239538</v>
      </c>
      <c r="O101" s="2"/>
      <c r="P101" s="2" t="s">
        <v>450</v>
      </c>
      <c r="Q101" s="2"/>
      <c r="R101" s="1"/>
      <c r="S101" s="1"/>
      <c r="T101" s="1"/>
      <c r="U101" s="1"/>
      <c r="V101" s="1"/>
      <c r="W101" s="1"/>
      <c r="X101" s="1"/>
      <c r="Y101" s="1"/>
    </row>
    <row r="102" spans="1:25" ht="28" x14ac:dyDescent="0.15">
      <c r="A102" s="2">
        <v>100</v>
      </c>
      <c r="B102" s="2" t="s">
        <v>451</v>
      </c>
      <c r="C102" s="2" t="s">
        <v>452</v>
      </c>
      <c r="D102" s="2">
        <v>12.75</v>
      </c>
      <c r="E102" s="2">
        <v>-78.73</v>
      </c>
      <c r="F102" s="2">
        <v>12.709770320000001</v>
      </c>
      <c r="G102" s="2">
        <v>-76.027074470000002</v>
      </c>
      <c r="H102" s="2" t="s">
        <v>671</v>
      </c>
      <c r="I102" s="2" t="s">
        <v>49</v>
      </c>
      <c r="J102" s="2" t="s">
        <v>108</v>
      </c>
      <c r="K102" s="2" t="s">
        <v>124</v>
      </c>
      <c r="L102" s="2" t="s">
        <v>449</v>
      </c>
      <c r="M102" s="4" t="s">
        <v>111</v>
      </c>
      <c r="N102" s="4">
        <f>1/191.987 *39.0181</f>
        <v>0.20323303140316792</v>
      </c>
      <c r="O102" s="2"/>
      <c r="P102" s="2" t="s">
        <v>453</v>
      </c>
      <c r="Q102" s="2"/>
      <c r="R102" s="1"/>
      <c r="S102" s="1"/>
      <c r="T102" s="1"/>
      <c r="U102" s="1"/>
      <c r="V102" s="1"/>
      <c r="W102" s="1"/>
      <c r="X102" s="1"/>
      <c r="Y102" s="1"/>
    </row>
    <row r="103" spans="1:25" ht="28" x14ac:dyDescent="0.15">
      <c r="A103" s="2">
        <v>101</v>
      </c>
      <c r="B103" s="2" t="s">
        <v>454</v>
      </c>
      <c r="C103" s="2" t="s">
        <v>402</v>
      </c>
      <c r="D103" s="2">
        <v>12.03</v>
      </c>
      <c r="E103" s="2">
        <v>-143.69999999999999</v>
      </c>
      <c r="F103" s="2">
        <v>3.1092293259999999</v>
      </c>
      <c r="G103" s="2">
        <v>-116.3880846</v>
      </c>
      <c r="H103" s="2" t="s">
        <v>455</v>
      </c>
      <c r="I103" s="2" t="s">
        <v>49</v>
      </c>
      <c r="J103" s="2" t="s">
        <v>108</v>
      </c>
      <c r="K103" s="2" t="s">
        <v>456</v>
      </c>
      <c r="L103" s="2" t="s">
        <v>457</v>
      </c>
      <c r="M103" s="4" t="s">
        <v>111</v>
      </c>
      <c r="N103" s="4">
        <f>3/169.5959*37.9097</f>
        <v>0.67058873475125291</v>
      </c>
      <c r="O103" s="2"/>
      <c r="P103" s="2" t="s">
        <v>458</v>
      </c>
      <c r="Q103" s="2"/>
      <c r="R103" s="1"/>
      <c r="S103" s="1"/>
      <c r="T103" s="1"/>
      <c r="U103" s="1"/>
      <c r="V103" s="1"/>
      <c r="W103" s="1"/>
      <c r="X103" s="1"/>
      <c r="Y103" s="1"/>
    </row>
    <row r="104" spans="1:25" ht="14" x14ac:dyDescent="0.15">
      <c r="A104" s="2">
        <v>102</v>
      </c>
      <c r="B104" s="2" t="s">
        <v>459</v>
      </c>
      <c r="C104" s="2" t="s">
        <v>460</v>
      </c>
      <c r="D104" s="2">
        <v>11.06</v>
      </c>
      <c r="E104" s="2">
        <v>-72.17</v>
      </c>
      <c r="F104" s="2">
        <v>8.6149535640000003</v>
      </c>
      <c r="G104" s="2">
        <v>-59.779182970000001</v>
      </c>
      <c r="H104" s="2" t="s">
        <v>461</v>
      </c>
      <c r="I104" s="2" t="s">
        <v>130</v>
      </c>
      <c r="J104" s="2" t="s">
        <v>20</v>
      </c>
      <c r="K104" s="2" t="s">
        <v>462</v>
      </c>
      <c r="L104" s="2" t="s">
        <v>463</v>
      </c>
      <c r="M104" s="4" t="s">
        <v>23</v>
      </c>
      <c r="N104" s="4">
        <f>300/170.9261 *18.6223</f>
        <v>32.684826951530518</v>
      </c>
      <c r="O104" s="2"/>
      <c r="P104" s="2" t="s">
        <v>464</v>
      </c>
      <c r="Q104" s="2"/>
      <c r="R104" s="1"/>
      <c r="S104" s="1"/>
      <c r="T104" s="1"/>
      <c r="U104" s="1"/>
      <c r="V104" s="1"/>
      <c r="W104" s="1"/>
      <c r="X104" s="1"/>
      <c r="Y104" s="1"/>
    </row>
    <row r="105" spans="1:25" ht="14" x14ac:dyDescent="0.15">
      <c r="A105" s="2">
        <v>103</v>
      </c>
      <c r="B105" s="2" t="s">
        <v>465</v>
      </c>
      <c r="C105" s="2" t="s">
        <v>460</v>
      </c>
      <c r="D105" s="2">
        <v>10.74</v>
      </c>
      <c r="E105" s="2">
        <v>-72.37</v>
      </c>
      <c r="F105" s="2">
        <v>8.3013530810000002</v>
      </c>
      <c r="G105" s="2">
        <v>-59.98791009</v>
      </c>
      <c r="H105" s="2" t="s">
        <v>461</v>
      </c>
      <c r="I105" s="2" t="s">
        <v>130</v>
      </c>
      <c r="J105" s="2" t="s">
        <v>20</v>
      </c>
      <c r="K105" s="2" t="s">
        <v>462</v>
      </c>
      <c r="L105" s="2" t="s">
        <v>463</v>
      </c>
      <c r="M105" s="4" t="s">
        <v>23</v>
      </c>
      <c r="N105" s="4">
        <f>1200/221.4299*14.4101</f>
        <v>78.092976603430699</v>
      </c>
      <c r="O105" s="2"/>
      <c r="P105" s="2" t="s">
        <v>466</v>
      </c>
      <c r="Q105" s="2"/>
      <c r="R105" s="1"/>
      <c r="S105" s="1"/>
      <c r="T105" s="1"/>
      <c r="U105" s="1"/>
      <c r="V105" s="1"/>
      <c r="W105" s="1"/>
      <c r="X105" s="1"/>
      <c r="Y105" s="1"/>
    </row>
    <row r="106" spans="1:25" ht="28" x14ac:dyDescent="0.15">
      <c r="A106" s="2">
        <v>104</v>
      </c>
      <c r="B106" s="2" t="s">
        <v>467</v>
      </c>
      <c r="C106" s="2" t="s">
        <v>402</v>
      </c>
      <c r="D106" s="2">
        <v>10.18</v>
      </c>
      <c r="E106" s="2">
        <v>-142.75</v>
      </c>
      <c r="F106" s="2">
        <v>1.3497615999999999</v>
      </c>
      <c r="G106" s="2">
        <v>-115.2937288</v>
      </c>
      <c r="H106" s="2" t="s">
        <v>455</v>
      </c>
      <c r="I106" s="2" t="s">
        <v>49</v>
      </c>
      <c r="J106" s="2" t="s">
        <v>108</v>
      </c>
      <c r="K106" s="2" t="s">
        <v>456</v>
      </c>
      <c r="L106" s="2" t="s">
        <v>681</v>
      </c>
      <c r="M106" s="4" t="s">
        <v>111</v>
      </c>
      <c r="N106" s="4">
        <f>1/54.5367*37.2446</f>
        <v>0.68292727649454388</v>
      </c>
      <c r="O106" s="2"/>
      <c r="P106" s="2" t="s">
        <v>458</v>
      </c>
      <c r="Q106" s="2"/>
      <c r="R106" s="1"/>
      <c r="S106" s="1"/>
      <c r="T106" s="1"/>
      <c r="U106" s="1"/>
      <c r="V106" s="1"/>
      <c r="W106" s="1"/>
      <c r="X106" s="1"/>
      <c r="Y106" s="1"/>
    </row>
    <row r="107" spans="1:25" ht="28" x14ac:dyDescent="0.15">
      <c r="A107" s="2">
        <v>105</v>
      </c>
      <c r="B107" s="2" t="s">
        <v>468</v>
      </c>
      <c r="C107" s="2" t="s">
        <v>469</v>
      </c>
      <c r="D107" s="2">
        <v>9.43</v>
      </c>
      <c r="E107" s="2">
        <v>-54.73</v>
      </c>
      <c r="F107" s="2">
        <v>6.5624515590000003</v>
      </c>
      <c r="G107" s="2">
        <v>-42.51205221</v>
      </c>
      <c r="H107" s="2" t="s">
        <v>470</v>
      </c>
      <c r="I107" s="2" t="s">
        <v>49</v>
      </c>
      <c r="J107" s="2" t="s">
        <v>108</v>
      </c>
      <c r="K107" s="2" t="s">
        <v>471</v>
      </c>
      <c r="L107" s="2" t="s">
        <v>472</v>
      </c>
      <c r="M107" s="4" t="s">
        <v>111</v>
      </c>
      <c r="N107" s="4">
        <f>4/228.3448*159.6197</f>
        <v>2.796117100104754</v>
      </c>
      <c r="O107" s="2"/>
      <c r="P107" s="2" t="s">
        <v>473</v>
      </c>
      <c r="Q107" s="2"/>
      <c r="R107" s="1"/>
      <c r="S107" s="1"/>
      <c r="T107" s="1"/>
      <c r="U107" s="1"/>
      <c r="V107" s="1"/>
      <c r="W107" s="1"/>
      <c r="X107" s="1"/>
      <c r="Y107" s="1"/>
    </row>
    <row r="108" spans="1:25" ht="28" x14ac:dyDescent="0.15">
      <c r="A108" s="2">
        <v>106</v>
      </c>
      <c r="B108" s="2" t="s">
        <v>474</v>
      </c>
      <c r="C108" s="2" t="s">
        <v>469</v>
      </c>
      <c r="D108" s="2">
        <v>9.3000000000000007</v>
      </c>
      <c r="E108" s="2">
        <v>-54.2</v>
      </c>
      <c r="F108" s="2">
        <v>6.4235683620000001</v>
      </c>
      <c r="G108" s="2">
        <v>-41.988043820000001</v>
      </c>
      <c r="H108" s="2" t="s">
        <v>475</v>
      </c>
      <c r="I108" s="2" t="s">
        <v>49</v>
      </c>
      <c r="J108" s="2" t="s">
        <v>108</v>
      </c>
      <c r="K108" s="2" t="s">
        <v>476</v>
      </c>
      <c r="L108" s="2" t="s">
        <v>477</v>
      </c>
      <c r="M108" s="4" t="s">
        <v>111</v>
      </c>
      <c r="N108" s="4">
        <f>5/228.7882*86.4607</f>
        <v>1.8895358239629492</v>
      </c>
      <c r="O108" s="2"/>
      <c r="P108" s="2" t="s">
        <v>478</v>
      </c>
      <c r="Q108" s="2"/>
      <c r="R108" s="1"/>
      <c r="S108" s="1"/>
      <c r="T108" s="1"/>
      <c r="U108" s="1"/>
      <c r="V108" s="1"/>
      <c r="W108" s="1"/>
      <c r="X108" s="1"/>
      <c r="Y108" s="1"/>
    </row>
    <row r="109" spans="1:25" ht="28" x14ac:dyDescent="0.15">
      <c r="A109" s="2">
        <v>107</v>
      </c>
      <c r="B109" s="2" t="s">
        <v>479</v>
      </c>
      <c r="C109" s="2" t="s">
        <v>469</v>
      </c>
      <c r="D109" s="2">
        <v>9.27</v>
      </c>
      <c r="E109" s="2">
        <v>-54.54</v>
      </c>
      <c r="F109" s="2">
        <v>6.3992557620000001</v>
      </c>
      <c r="G109" s="2">
        <v>-42.326163809999997</v>
      </c>
      <c r="H109" s="2" t="s">
        <v>475</v>
      </c>
      <c r="I109" s="2" t="s">
        <v>49</v>
      </c>
      <c r="J109" s="2" t="s">
        <v>108</v>
      </c>
      <c r="K109" s="2" t="s">
        <v>480</v>
      </c>
      <c r="L109" s="2" t="s">
        <v>481</v>
      </c>
      <c r="M109" s="4" t="s">
        <v>111</v>
      </c>
      <c r="N109" s="4">
        <f>6/344.9559*26.6033</f>
        <v>0.46272523531268778</v>
      </c>
      <c r="O109" s="2"/>
      <c r="P109" s="2" t="s">
        <v>482</v>
      </c>
      <c r="Q109" s="2"/>
      <c r="R109" s="1"/>
      <c r="S109" s="1"/>
      <c r="T109" s="1"/>
      <c r="U109" s="1"/>
      <c r="V109" s="1"/>
      <c r="W109" s="1"/>
      <c r="X109" s="1"/>
      <c r="Y109" s="1"/>
    </row>
    <row r="110" spans="1:25" ht="28" x14ac:dyDescent="0.15">
      <c r="A110" s="2">
        <v>108</v>
      </c>
      <c r="B110" s="2" t="s">
        <v>662</v>
      </c>
      <c r="C110" s="2" t="s">
        <v>402</v>
      </c>
      <c r="D110" s="2">
        <v>5.5</v>
      </c>
      <c r="E110" s="2">
        <v>172.33</v>
      </c>
      <c r="F110" s="2">
        <v>-4.4107913349999999</v>
      </c>
      <c r="G110" s="2">
        <v>-159.6666056</v>
      </c>
      <c r="H110" s="2" t="s">
        <v>483</v>
      </c>
      <c r="I110" s="2" t="s">
        <v>19</v>
      </c>
      <c r="J110" s="2" t="s">
        <v>108</v>
      </c>
      <c r="K110" s="2" t="s">
        <v>484</v>
      </c>
      <c r="L110" s="2" t="s">
        <v>485</v>
      </c>
      <c r="M110" s="4" t="s">
        <v>23</v>
      </c>
      <c r="N110" s="4">
        <f>0.8/210.6926 *121.6036</f>
        <v>0.46172898336249119</v>
      </c>
      <c r="O110" s="2" t="s">
        <v>51</v>
      </c>
      <c r="P110" s="2" t="s">
        <v>486</v>
      </c>
      <c r="Q110" s="2" t="s">
        <v>487</v>
      </c>
      <c r="R110" s="1"/>
      <c r="S110" s="1"/>
      <c r="T110" s="1"/>
      <c r="U110" s="1"/>
      <c r="V110" s="1"/>
      <c r="W110" s="1"/>
      <c r="X110" s="1"/>
      <c r="Y110" s="1"/>
    </row>
    <row r="111" spans="1:25" ht="14" x14ac:dyDescent="0.15">
      <c r="A111" s="2">
        <v>109</v>
      </c>
      <c r="B111" s="2" t="s">
        <v>488</v>
      </c>
      <c r="C111" s="2" t="s">
        <v>489</v>
      </c>
      <c r="D111" s="2">
        <v>4.5199999999999996</v>
      </c>
      <c r="E111" s="2">
        <v>-74.150000000000006</v>
      </c>
      <c r="F111" s="2">
        <v>2.1415481810000001</v>
      </c>
      <c r="G111" s="2">
        <v>-61.960359130000001</v>
      </c>
      <c r="H111" s="2" t="s">
        <v>490</v>
      </c>
      <c r="I111" s="2" t="s">
        <v>130</v>
      </c>
      <c r="J111" s="2" t="s">
        <v>20</v>
      </c>
      <c r="K111" s="2"/>
      <c r="L111" s="2"/>
      <c r="M111" s="4"/>
      <c r="N111" s="4"/>
      <c r="O111" s="2"/>
      <c r="P111" s="2" t="s">
        <v>491</v>
      </c>
      <c r="Q111" s="2" t="s">
        <v>492</v>
      </c>
      <c r="R111" s="1"/>
      <c r="S111" s="1"/>
      <c r="T111" s="1"/>
      <c r="U111" s="1"/>
      <c r="V111" s="1"/>
      <c r="W111" s="1"/>
      <c r="X111" s="1"/>
      <c r="Y111" s="1"/>
    </row>
    <row r="112" spans="1:25" ht="28" x14ac:dyDescent="0.15">
      <c r="A112" s="2">
        <v>110</v>
      </c>
      <c r="B112" s="2" t="s">
        <v>493</v>
      </c>
      <c r="C112" s="2" t="s">
        <v>494</v>
      </c>
      <c r="D112" s="2">
        <v>-9.27</v>
      </c>
      <c r="E112" s="2">
        <v>39.5</v>
      </c>
      <c r="F112" s="2">
        <v>-20.046283670000001</v>
      </c>
      <c r="G112" s="2">
        <v>31.51444837</v>
      </c>
      <c r="H112" s="2" t="s">
        <v>495</v>
      </c>
      <c r="I112" s="2" t="s">
        <v>36</v>
      </c>
      <c r="J112" s="2" t="s">
        <v>20</v>
      </c>
      <c r="K112" s="2" t="s">
        <v>496</v>
      </c>
      <c r="L112" s="2" t="s">
        <v>497</v>
      </c>
      <c r="M112" s="4" t="s">
        <v>56</v>
      </c>
      <c r="N112" s="4">
        <f>20/229.4533*126.3656</f>
        <v>11.014494016865305</v>
      </c>
      <c r="O112" s="2" t="s">
        <v>51</v>
      </c>
      <c r="P112" s="2" t="s">
        <v>498</v>
      </c>
      <c r="Q112" s="2"/>
      <c r="R112" s="1"/>
      <c r="S112" s="1"/>
      <c r="T112" s="1"/>
      <c r="U112" s="1"/>
      <c r="V112" s="1"/>
      <c r="W112" s="1"/>
      <c r="X112" s="1"/>
      <c r="Y112" s="1"/>
    </row>
    <row r="113" spans="1:25" ht="28" x14ac:dyDescent="0.15">
      <c r="A113" s="2">
        <v>111</v>
      </c>
      <c r="B113" s="2" t="s">
        <v>499</v>
      </c>
      <c r="C113" s="2" t="s">
        <v>500</v>
      </c>
      <c r="D113" s="2">
        <v>-10.210000000000001</v>
      </c>
      <c r="E113" s="2">
        <v>93.9</v>
      </c>
      <c r="F113" s="2">
        <v>-32.196429770000002</v>
      </c>
      <c r="G113" s="2">
        <v>77.80947999</v>
      </c>
      <c r="H113" s="2" t="s">
        <v>501</v>
      </c>
      <c r="I113" s="2" t="s">
        <v>49</v>
      </c>
      <c r="J113" s="2" t="s">
        <v>108</v>
      </c>
      <c r="K113" s="2" t="s">
        <v>124</v>
      </c>
      <c r="L113" s="2" t="s">
        <v>502</v>
      </c>
      <c r="M113" s="4" t="s">
        <v>111</v>
      </c>
      <c r="N113" s="4">
        <f>3/206.1754*21.6152</f>
        <v>0.3145166688169394</v>
      </c>
      <c r="O113" s="2" t="s">
        <v>51</v>
      </c>
      <c r="P113" s="2" t="s">
        <v>503</v>
      </c>
      <c r="Q113" s="2" t="s">
        <v>504</v>
      </c>
      <c r="R113" s="1"/>
      <c r="S113" s="1"/>
      <c r="T113" s="1"/>
      <c r="U113" s="1"/>
      <c r="V113" s="1"/>
      <c r="W113" s="1"/>
      <c r="X113" s="1"/>
      <c r="Y113" s="1"/>
    </row>
    <row r="114" spans="1:25" ht="14" x14ac:dyDescent="0.15">
      <c r="A114" s="2">
        <v>112</v>
      </c>
      <c r="B114" s="2" t="s">
        <v>505</v>
      </c>
      <c r="C114" s="2" t="s">
        <v>506</v>
      </c>
      <c r="D114" s="2">
        <v>-19.18</v>
      </c>
      <c r="E114" s="2">
        <v>9.3800000000000008</v>
      </c>
      <c r="F114" s="2">
        <v>-27.22061574</v>
      </c>
      <c r="G114" s="2">
        <v>-0.78802662999999995</v>
      </c>
      <c r="H114" s="2" t="s">
        <v>507</v>
      </c>
      <c r="I114" s="2" t="s">
        <v>49</v>
      </c>
      <c r="J114" s="2" t="s">
        <v>108</v>
      </c>
      <c r="K114" s="2"/>
      <c r="L114" s="2"/>
      <c r="M114" s="4"/>
      <c r="N114" s="4"/>
      <c r="O114" s="2"/>
      <c r="P114" s="2" t="s">
        <v>508</v>
      </c>
      <c r="Q114" s="2" t="s">
        <v>509</v>
      </c>
      <c r="R114" s="1"/>
      <c r="S114" s="1"/>
      <c r="T114" s="1"/>
      <c r="U114" s="1"/>
      <c r="V114" s="1"/>
      <c r="W114" s="1"/>
      <c r="X114" s="1"/>
      <c r="Y114" s="1"/>
    </row>
    <row r="115" spans="1:25" ht="14" x14ac:dyDescent="0.15">
      <c r="A115" s="2">
        <v>113</v>
      </c>
      <c r="B115" s="2" t="s">
        <v>510</v>
      </c>
      <c r="C115" s="2" t="s">
        <v>511</v>
      </c>
      <c r="D115" s="2">
        <v>-19.8872</v>
      </c>
      <c r="E115" s="2">
        <v>112.254</v>
      </c>
      <c r="F115" s="2">
        <v>-44.915803959999998</v>
      </c>
      <c r="G115" s="2">
        <v>97.984882299999995</v>
      </c>
      <c r="H115" s="2" t="s">
        <v>357</v>
      </c>
      <c r="I115" s="2" t="s">
        <v>49</v>
      </c>
      <c r="J115" s="2" t="s">
        <v>108</v>
      </c>
      <c r="K115" s="2"/>
      <c r="L115" s="2"/>
      <c r="M115" s="4"/>
      <c r="N115" s="4"/>
      <c r="O115" s="2"/>
      <c r="P115" s="2" t="s">
        <v>512</v>
      </c>
      <c r="Q115" s="2" t="s">
        <v>513</v>
      </c>
      <c r="R115" s="1"/>
      <c r="S115" s="1"/>
      <c r="T115" s="1"/>
      <c r="U115" s="1"/>
      <c r="V115" s="1"/>
      <c r="W115" s="1"/>
      <c r="X115" s="1"/>
      <c r="Y115" s="1"/>
    </row>
    <row r="116" spans="1:25" ht="28" x14ac:dyDescent="0.15">
      <c r="A116" s="2">
        <v>114</v>
      </c>
      <c r="B116" s="2" t="s">
        <v>514</v>
      </c>
      <c r="C116" s="2" t="s">
        <v>515</v>
      </c>
      <c r="D116" s="2">
        <v>-27.19</v>
      </c>
      <c r="E116" s="2">
        <v>1.58</v>
      </c>
      <c r="F116" s="2">
        <v>-33.924755339999997</v>
      </c>
      <c r="G116" s="2">
        <v>-10.55340152</v>
      </c>
      <c r="H116" s="2" t="s">
        <v>516</v>
      </c>
      <c r="I116" s="2" t="s">
        <v>49</v>
      </c>
      <c r="J116" s="2" t="s">
        <v>108</v>
      </c>
      <c r="K116" s="2" t="s">
        <v>517</v>
      </c>
      <c r="L116" s="2" t="s">
        <v>518</v>
      </c>
      <c r="M116" s="4" t="s">
        <v>111</v>
      </c>
      <c r="N116" s="4">
        <f>4/244.7502*54.5367</f>
        <v>0.89130386818887175</v>
      </c>
      <c r="O116" s="2"/>
      <c r="P116" s="2" t="s">
        <v>519</v>
      </c>
      <c r="Q116" s="2" t="s">
        <v>520</v>
      </c>
      <c r="R116" s="1"/>
      <c r="S116" s="1"/>
      <c r="T116" s="1"/>
      <c r="U116" s="1"/>
      <c r="V116" s="1"/>
      <c r="W116" s="1"/>
      <c r="X116" s="1"/>
      <c r="Y116" s="1"/>
    </row>
    <row r="117" spans="1:25" ht="28" x14ac:dyDescent="0.15">
      <c r="A117" s="2">
        <v>115</v>
      </c>
      <c r="B117" s="2" t="s">
        <v>521</v>
      </c>
      <c r="C117" s="2" t="s">
        <v>515</v>
      </c>
      <c r="D117" s="2">
        <v>-28.53</v>
      </c>
      <c r="E117" s="2">
        <v>2.78</v>
      </c>
      <c r="F117" s="2">
        <v>-35.436638459999998</v>
      </c>
      <c r="G117" s="2">
        <v>-9.5841172629999996</v>
      </c>
      <c r="H117" s="2" t="s">
        <v>522</v>
      </c>
      <c r="I117" s="2" t="s">
        <v>49</v>
      </c>
      <c r="J117" s="2" t="s">
        <v>108</v>
      </c>
      <c r="K117" s="2" t="s">
        <v>517</v>
      </c>
      <c r="L117" s="2" t="s">
        <v>518</v>
      </c>
      <c r="M117" s="4" t="s">
        <v>111</v>
      </c>
      <c r="N117" s="4">
        <f>4/244.7502*152.3038</f>
        <v>2.489130550250827</v>
      </c>
      <c r="O117" s="2"/>
      <c r="P117" s="2" t="s">
        <v>523</v>
      </c>
      <c r="Q117" s="2" t="s">
        <v>524</v>
      </c>
      <c r="R117" s="1"/>
      <c r="S117" s="1"/>
      <c r="T117" s="1"/>
      <c r="U117" s="1"/>
      <c r="V117" s="1"/>
      <c r="W117" s="1"/>
      <c r="X117" s="1"/>
      <c r="Y117" s="1"/>
    </row>
    <row r="118" spans="1:25" ht="28" x14ac:dyDescent="0.15">
      <c r="A118" s="2">
        <v>116</v>
      </c>
      <c r="B118" s="2" t="s">
        <v>525</v>
      </c>
      <c r="C118" s="2" t="s">
        <v>515</v>
      </c>
      <c r="D118" s="2">
        <v>-28.54</v>
      </c>
      <c r="E118" s="2">
        <v>2.34</v>
      </c>
      <c r="F118" s="2">
        <v>-35.375316959999999</v>
      </c>
      <c r="G118" s="2">
        <v>-10.052529399999999</v>
      </c>
      <c r="H118" s="2" t="s">
        <v>526</v>
      </c>
      <c r="I118" s="2" t="s">
        <v>49</v>
      </c>
      <c r="J118" s="2" t="s">
        <v>108</v>
      </c>
      <c r="K118" s="2" t="s">
        <v>517</v>
      </c>
      <c r="L118" s="2" t="s">
        <v>518</v>
      </c>
      <c r="M118" s="4" t="s">
        <v>111</v>
      </c>
      <c r="N118" s="4">
        <f>4/244.7502*91.7813</f>
        <v>1.4999995914201498</v>
      </c>
      <c r="O118" s="2"/>
      <c r="P118" s="2" t="s">
        <v>527</v>
      </c>
      <c r="Q118" s="2" t="s">
        <v>688</v>
      </c>
      <c r="R118" s="1"/>
      <c r="S118" s="1"/>
      <c r="T118" s="1"/>
      <c r="U118" s="1"/>
      <c r="V118" s="1"/>
      <c r="W118" s="1"/>
      <c r="X118" s="1"/>
      <c r="Y118" s="1"/>
    </row>
    <row r="119" spans="1:25" ht="28" x14ac:dyDescent="0.15">
      <c r="A119" s="2">
        <v>117</v>
      </c>
      <c r="B119" s="2" t="s">
        <v>528</v>
      </c>
      <c r="C119" s="2" t="s">
        <v>529</v>
      </c>
      <c r="D119" s="2">
        <v>-40.380000000000003</v>
      </c>
      <c r="E119" s="2">
        <v>176.38</v>
      </c>
      <c r="F119" s="2">
        <v>-51.451432689999997</v>
      </c>
      <c r="G119" s="2">
        <v>-170.20008139999999</v>
      </c>
      <c r="H119" s="2" t="s">
        <v>530</v>
      </c>
      <c r="I119" s="2" t="s">
        <v>49</v>
      </c>
      <c r="J119" s="2" t="s">
        <v>20</v>
      </c>
      <c r="K119" s="2" t="s">
        <v>531</v>
      </c>
      <c r="L119" s="2" t="s">
        <v>532</v>
      </c>
      <c r="M119" s="4" t="s">
        <v>23</v>
      </c>
      <c r="N119" s="4">
        <f>1.5/306.6028*195.6749</f>
        <v>0.95730485827265765</v>
      </c>
      <c r="O119" s="2"/>
      <c r="P119" s="2" t="s">
        <v>533</v>
      </c>
      <c r="Q119" s="2" t="s">
        <v>534</v>
      </c>
      <c r="R119" s="1"/>
      <c r="S119" s="1"/>
      <c r="T119" s="1"/>
      <c r="U119" s="1"/>
      <c r="V119" s="1"/>
      <c r="W119" s="1"/>
      <c r="X119" s="1"/>
      <c r="Y119" s="1"/>
    </row>
    <row r="120" spans="1:25" ht="28" x14ac:dyDescent="0.15">
      <c r="A120" s="2">
        <v>118</v>
      </c>
      <c r="B120" s="2" t="s">
        <v>535</v>
      </c>
      <c r="C120" s="2" t="s">
        <v>529</v>
      </c>
      <c r="D120" s="2">
        <v>-41.96</v>
      </c>
      <c r="E120" s="2">
        <v>173.79</v>
      </c>
      <c r="F120" s="2">
        <v>-53.842590600000001</v>
      </c>
      <c r="G120" s="2">
        <v>-171.4546039</v>
      </c>
      <c r="H120" s="2" t="s">
        <v>536</v>
      </c>
      <c r="I120" s="2" t="s">
        <v>36</v>
      </c>
      <c r="J120" s="2" t="s">
        <v>108</v>
      </c>
      <c r="K120" s="2" t="s">
        <v>537</v>
      </c>
      <c r="L120" s="2" t="s">
        <v>538</v>
      </c>
      <c r="M120" s="4" t="s">
        <v>111</v>
      </c>
      <c r="N120" s="4">
        <f>4/184.8928*132.1858</f>
        <v>2.8597284480520604</v>
      </c>
      <c r="O120" s="2"/>
      <c r="P120" s="2" t="s">
        <v>539</v>
      </c>
      <c r="Q120" s="2"/>
      <c r="R120" s="1"/>
      <c r="S120" s="1"/>
      <c r="T120" s="1"/>
      <c r="U120" s="1"/>
      <c r="V120" s="1"/>
      <c r="W120" s="1"/>
      <c r="X120" s="1"/>
      <c r="Y120" s="1"/>
    </row>
    <row r="121" spans="1:25" ht="28" x14ac:dyDescent="0.15">
      <c r="A121" s="2">
        <v>119</v>
      </c>
      <c r="B121" s="2" t="s">
        <v>540</v>
      </c>
      <c r="C121" s="2" t="s">
        <v>529</v>
      </c>
      <c r="D121" s="2">
        <v>-42</v>
      </c>
      <c r="E121" s="2">
        <v>173.74</v>
      </c>
      <c r="F121" s="2">
        <v>-53.896490180000001</v>
      </c>
      <c r="G121" s="2">
        <v>-171.4694245</v>
      </c>
      <c r="H121" s="2" t="s">
        <v>536</v>
      </c>
      <c r="I121" s="2" t="s">
        <v>36</v>
      </c>
      <c r="J121" s="2" t="s">
        <v>108</v>
      </c>
      <c r="K121" s="2" t="s">
        <v>537</v>
      </c>
      <c r="L121" s="2" t="s">
        <v>538</v>
      </c>
      <c r="M121" s="4" t="s">
        <v>111</v>
      </c>
      <c r="N121" s="4">
        <f>5/311.9235*125.7005</f>
        <v>2.0149251338869947</v>
      </c>
      <c r="O121" s="2"/>
      <c r="P121" s="2" t="s">
        <v>541</v>
      </c>
      <c r="Q121" s="2"/>
      <c r="R121" s="1"/>
      <c r="S121" s="1"/>
      <c r="T121" s="1"/>
      <c r="U121" s="1"/>
      <c r="V121" s="1"/>
      <c r="W121" s="1"/>
      <c r="X121" s="1"/>
      <c r="Y121" s="1"/>
    </row>
    <row r="122" spans="1:25" ht="28" x14ac:dyDescent="0.15">
      <c r="A122" s="2">
        <v>120</v>
      </c>
      <c r="B122" s="2" t="s">
        <v>542</v>
      </c>
      <c r="C122" s="2" t="s">
        <v>529</v>
      </c>
      <c r="D122" s="2">
        <v>-42.58</v>
      </c>
      <c r="E122" s="2">
        <v>171.2</v>
      </c>
      <c r="F122" s="2">
        <v>-55.421214919999997</v>
      </c>
      <c r="G122" s="2">
        <v>-173.61651929999999</v>
      </c>
      <c r="H122" s="2" t="s">
        <v>543</v>
      </c>
      <c r="I122" s="2" t="s">
        <v>83</v>
      </c>
      <c r="J122" s="2" t="s">
        <v>20</v>
      </c>
      <c r="K122" s="2" t="s">
        <v>544</v>
      </c>
      <c r="L122" s="2" t="s">
        <v>682</v>
      </c>
      <c r="M122" s="4" t="s">
        <v>31</v>
      </c>
      <c r="N122" s="4">
        <v>4.8499999999999996</v>
      </c>
      <c r="O122" s="2" t="s">
        <v>51</v>
      </c>
      <c r="P122" s="2" t="s">
        <v>545</v>
      </c>
      <c r="Q122" s="2" t="s">
        <v>687</v>
      </c>
      <c r="R122" s="1"/>
      <c r="S122" s="1"/>
      <c r="T122" s="1"/>
      <c r="U122" s="1"/>
      <c r="V122" s="1"/>
      <c r="W122" s="1"/>
      <c r="X122" s="1"/>
      <c r="Y122" s="1"/>
    </row>
    <row r="123" spans="1:25" ht="28" x14ac:dyDescent="0.15">
      <c r="A123" s="2">
        <v>121</v>
      </c>
      <c r="B123" s="2" t="s">
        <v>546</v>
      </c>
      <c r="C123" s="2" t="s">
        <v>547</v>
      </c>
      <c r="D123" s="2">
        <v>-43.97</v>
      </c>
      <c r="E123" s="2">
        <v>149.93</v>
      </c>
      <c r="F123" s="2">
        <v>-64.381253470000004</v>
      </c>
      <c r="G123" s="2">
        <v>161.78584319999999</v>
      </c>
      <c r="H123" s="2" t="s">
        <v>548</v>
      </c>
      <c r="I123" s="2" t="s">
        <v>19</v>
      </c>
      <c r="J123" s="2" t="s">
        <v>20</v>
      </c>
      <c r="K123" s="2" t="s">
        <v>549</v>
      </c>
      <c r="L123" s="2" t="s">
        <v>550</v>
      </c>
      <c r="M123" s="4" t="s">
        <v>56</v>
      </c>
      <c r="N123" s="4">
        <f>4/218.1469*36.7458</f>
        <v>0.67378083300748259</v>
      </c>
      <c r="O123" s="2"/>
      <c r="P123" s="2" t="s">
        <v>551</v>
      </c>
      <c r="Q123" s="2"/>
      <c r="R123" s="1"/>
      <c r="S123" s="1"/>
      <c r="T123" s="1"/>
      <c r="U123" s="1"/>
      <c r="V123" s="1"/>
      <c r="W123" s="1"/>
      <c r="X123" s="1"/>
      <c r="Y123" s="1"/>
    </row>
    <row r="124" spans="1:25" ht="14" x14ac:dyDescent="0.15">
      <c r="A124" s="2">
        <v>122</v>
      </c>
      <c r="B124" s="2" t="s">
        <v>552</v>
      </c>
      <c r="C124" s="2" t="s">
        <v>553</v>
      </c>
      <c r="D124" s="2">
        <v>-51</v>
      </c>
      <c r="E124" s="2">
        <v>171.06</v>
      </c>
      <c r="F124" s="2">
        <v>-61.473748579999999</v>
      </c>
      <c r="G124" s="2">
        <v>-164.36646730000001</v>
      </c>
      <c r="H124" s="2" t="s">
        <v>554</v>
      </c>
      <c r="I124" s="2" t="s">
        <v>83</v>
      </c>
      <c r="J124" s="2" t="s">
        <v>20</v>
      </c>
      <c r="K124" s="2"/>
      <c r="L124" s="2"/>
      <c r="M124" s="4"/>
      <c r="N124" s="4"/>
      <c r="O124" s="2"/>
      <c r="P124" s="2" t="s">
        <v>555</v>
      </c>
      <c r="Q124" s="2" t="s">
        <v>80</v>
      </c>
      <c r="R124" s="1"/>
      <c r="S124" s="1"/>
      <c r="T124" s="1"/>
      <c r="U124" s="1"/>
      <c r="V124" s="1"/>
      <c r="W124" s="1"/>
      <c r="X124" s="1"/>
      <c r="Y124" s="1"/>
    </row>
    <row r="125" spans="1:25" ht="28" x14ac:dyDescent="0.15">
      <c r="A125" s="2">
        <v>123</v>
      </c>
      <c r="B125" s="2" t="s">
        <v>556</v>
      </c>
      <c r="C125" s="2" t="s">
        <v>557</v>
      </c>
      <c r="D125" s="2">
        <v>-59.7</v>
      </c>
      <c r="E125" s="2">
        <v>84.27</v>
      </c>
      <c r="F125" s="2">
        <v>-60.881670059999998</v>
      </c>
      <c r="G125" s="2">
        <v>79.093353840000006</v>
      </c>
      <c r="H125" s="2" t="s">
        <v>672</v>
      </c>
      <c r="I125" s="2" t="s">
        <v>49</v>
      </c>
      <c r="J125" s="2" t="s">
        <v>108</v>
      </c>
      <c r="K125" s="2" t="s">
        <v>677</v>
      </c>
      <c r="L125" s="2" t="s">
        <v>558</v>
      </c>
      <c r="M125" s="4" t="s">
        <v>23</v>
      </c>
      <c r="N125" s="4">
        <f>1.2/175.474*79.7609</f>
        <v>0.54545448328527313</v>
      </c>
      <c r="O125" s="2"/>
      <c r="P125" s="5" t="s">
        <v>559</v>
      </c>
      <c r="Q125" s="2"/>
      <c r="R125" s="1"/>
      <c r="S125" s="1"/>
      <c r="T125" s="1"/>
      <c r="U125" s="1"/>
      <c r="V125" s="1"/>
      <c r="W125" s="1"/>
      <c r="X125" s="1"/>
      <c r="Y125" s="1"/>
    </row>
    <row r="126" spans="1:25" ht="28" x14ac:dyDescent="0.15">
      <c r="A126" s="2">
        <v>124</v>
      </c>
      <c r="B126" s="2" t="s">
        <v>663</v>
      </c>
      <c r="C126" s="2" t="s">
        <v>557</v>
      </c>
      <c r="D126" s="2">
        <v>-62.71</v>
      </c>
      <c r="E126" s="2">
        <v>82.79</v>
      </c>
      <c r="F126" s="2">
        <v>-63.89904473</v>
      </c>
      <c r="G126" s="2">
        <v>77.623934390000002</v>
      </c>
      <c r="H126" s="2" t="s">
        <v>560</v>
      </c>
      <c r="I126" s="2" t="s">
        <v>49</v>
      </c>
      <c r="J126" s="2" t="s">
        <v>108</v>
      </c>
      <c r="K126" s="2" t="s">
        <v>561</v>
      </c>
      <c r="L126" s="2" t="s">
        <v>562</v>
      </c>
      <c r="M126" s="4" t="s">
        <v>111</v>
      </c>
      <c r="N126" s="4">
        <f>3/219.9205*84.022</f>
        <v>1.1461687291543989</v>
      </c>
      <c r="O126" s="2"/>
      <c r="P126" s="2" t="s">
        <v>563</v>
      </c>
      <c r="Q126" s="2"/>
      <c r="R126" s="1"/>
      <c r="S126" s="1"/>
      <c r="T126" s="1"/>
      <c r="U126" s="1"/>
      <c r="V126" s="1"/>
      <c r="W126" s="1"/>
      <c r="X126" s="1"/>
      <c r="Y126" s="1"/>
    </row>
    <row r="127" spans="1:25" ht="28" x14ac:dyDescent="0.15">
      <c r="A127" s="2">
        <v>125</v>
      </c>
      <c r="B127" s="2" t="s">
        <v>564</v>
      </c>
      <c r="C127" s="2" t="s">
        <v>557</v>
      </c>
      <c r="D127" s="2">
        <v>-65.16</v>
      </c>
      <c r="E127" s="2">
        <v>1.2</v>
      </c>
      <c r="F127" s="2">
        <v>-65.572010759999998</v>
      </c>
      <c r="G127" s="2">
        <v>-7.0091403139999997</v>
      </c>
      <c r="H127" s="2" t="s">
        <v>565</v>
      </c>
      <c r="I127" s="2" t="s">
        <v>49</v>
      </c>
      <c r="J127" s="2" t="s">
        <v>108</v>
      </c>
      <c r="K127" s="2" t="s">
        <v>566</v>
      </c>
      <c r="L127" s="2" t="s">
        <v>567</v>
      </c>
      <c r="M127" s="4" t="s">
        <v>111</v>
      </c>
      <c r="N127" s="4">
        <f>4/244.7502*138.3371</f>
        <v>2.2608700626189475</v>
      </c>
      <c r="O127" s="2"/>
      <c r="P127" s="5" t="s">
        <v>568</v>
      </c>
      <c r="Q127" s="2" t="s">
        <v>688</v>
      </c>
      <c r="R127" s="1"/>
      <c r="S127" s="1"/>
      <c r="T127" s="1"/>
      <c r="U127" s="1"/>
      <c r="V127" s="1"/>
      <c r="W127" s="1"/>
      <c r="X127" s="1"/>
      <c r="Y127" s="1"/>
    </row>
    <row r="128" spans="1:25" x14ac:dyDescent="0.15">
      <c r="A128" s="10"/>
      <c r="B128" s="10"/>
      <c r="C128" s="10"/>
      <c r="D128" s="10"/>
      <c r="E128" s="10"/>
      <c r="F128" s="10"/>
      <c r="G128" s="10"/>
      <c r="H128" s="10"/>
      <c r="I128" s="10"/>
      <c r="J128" s="10"/>
      <c r="K128" s="10"/>
      <c r="L128" s="10"/>
      <c r="M128" s="10"/>
      <c r="N128" s="10"/>
      <c r="O128" s="10"/>
      <c r="P128" s="11"/>
      <c r="Q128" s="11"/>
      <c r="R128" s="1"/>
      <c r="S128" s="1"/>
      <c r="T128" s="1"/>
      <c r="U128" s="1"/>
      <c r="V128" s="1"/>
      <c r="W128" s="1"/>
      <c r="X128" s="1"/>
      <c r="Y128" s="1"/>
    </row>
    <row r="129" spans="1:25" x14ac:dyDescent="0.15">
      <c r="A129" s="10"/>
      <c r="B129" s="10"/>
      <c r="C129" s="10"/>
      <c r="D129" s="10"/>
      <c r="E129" s="10"/>
      <c r="F129" s="10"/>
      <c r="G129" s="10"/>
      <c r="H129" s="10"/>
      <c r="I129" s="10"/>
      <c r="J129" s="10"/>
      <c r="K129" s="10"/>
      <c r="L129" s="10"/>
      <c r="M129" s="10"/>
      <c r="N129" s="10"/>
      <c r="O129" s="10"/>
      <c r="P129" s="11"/>
      <c r="Q129" s="11"/>
      <c r="R129" s="1"/>
      <c r="S129" s="1"/>
      <c r="T129" s="1"/>
      <c r="U129" s="1"/>
      <c r="V129" s="1"/>
      <c r="W129" s="1"/>
      <c r="X129" s="1"/>
      <c r="Y129" s="1"/>
    </row>
    <row r="130" spans="1:25" ht="14" x14ac:dyDescent="0.15">
      <c r="A130" s="13" t="s">
        <v>689</v>
      </c>
      <c r="B130" s="10"/>
      <c r="C130" s="10"/>
      <c r="D130" s="10"/>
      <c r="E130" s="10"/>
      <c r="F130" s="10"/>
      <c r="G130" s="10"/>
      <c r="H130" s="10"/>
      <c r="I130" s="10"/>
      <c r="J130" s="10"/>
      <c r="K130" s="10"/>
      <c r="L130" s="10"/>
      <c r="M130" s="10"/>
      <c r="N130" s="10"/>
      <c r="O130" s="10"/>
      <c r="P130" s="11"/>
      <c r="Q130" s="11"/>
      <c r="R130" s="1"/>
      <c r="S130" s="1"/>
      <c r="T130" s="1"/>
      <c r="U130" s="1"/>
      <c r="V130" s="1"/>
      <c r="W130" s="1"/>
      <c r="X130" s="1"/>
      <c r="Y130" s="1"/>
    </row>
    <row r="131" spans="1:25" ht="16" x14ac:dyDescent="0.2">
      <c r="A131" s="6" t="s">
        <v>569</v>
      </c>
      <c r="B131" s="10"/>
      <c r="C131" s="10"/>
      <c r="D131" s="10"/>
      <c r="E131" s="10"/>
      <c r="F131" s="10"/>
      <c r="G131" s="10"/>
      <c r="H131" s="10"/>
      <c r="I131" s="10"/>
      <c r="J131" s="10"/>
      <c r="K131" s="10"/>
      <c r="L131" s="10"/>
      <c r="M131" s="10"/>
      <c r="N131" s="10"/>
      <c r="O131" s="10"/>
      <c r="P131" s="11"/>
      <c r="Q131" s="11"/>
      <c r="R131" s="1"/>
      <c r="S131" s="1"/>
      <c r="T131" s="1"/>
      <c r="U131" s="1"/>
      <c r="V131" s="1"/>
      <c r="W131" s="1"/>
      <c r="X131" s="1"/>
      <c r="Y131" s="1"/>
    </row>
    <row r="132" spans="1:25" ht="16" x14ac:dyDescent="0.2">
      <c r="A132" s="6"/>
      <c r="B132" s="10"/>
      <c r="C132" s="10"/>
      <c r="D132" s="10"/>
      <c r="E132" s="10"/>
      <c r="F132" s="10"/>
      <c r="G132" s="10"/>
      <c r="H132" s="10"/>
      <c r="I132" s="10"/>
      <c r="J132" s="10"/>
      <c r="K132" s="10"/>
      <c r="L132" s="10"/>
      <c r="M132" s="10"/>
      <c r="N132" s="10"/>
      <c r="O132" s="10"/>
      <c r="P132" s="11"/>
      <c r="Q132" s="11"/>
      <c r="R132" s="1"/>
      <c r="S132" s="1"/>
      <c r="T132" s="1"/>
      <c r="U132" s="1"/>
      <c r="V132" s="1"/>
      <c r="W132" s="1"/>
      <c r="X132" s="1"/>
      <c r="Y132" s="1"/>
    </row>
    <row r="133" spans="1:25" ht="16" x14ac:dyDescent="0.2">
      <c r="A133" s="6" t="s">
        <v>570</v>
      </c>
      <c r="B133" s="10"/>
      <c r="C133" s="10"/>
      <c r="D133" s="10"/>
      <c r="E133" s="10"/>
      <c r="F133" s="10"/>
      <c r="G133" s="10"/>
      <c r="H133" s="10"/>
      <c r="I133" s="10"/>
      <c r="J133" s="10"/>
      <c r="K133" s="10"/>
      <c r="L133" s="10"/>
      <c r="M133" s="10"/>
      <c r="N133" s="10"/>
      <c r="O133" s="10"/>
      <c r="P133" s="11"/>
      <c r="Q133" s="11"/>
      <c r="R133" s="1"/>
      <c r="S133" s="1"/>
      <c r="T133" s="1"/>
      <c r="U133" s="1"/>
      <c r="V133" s="1"/>
      <c r="W133" s="1"/>
      <c r="X133" s="1"/>
      <c r="Y133" s="1"/>
    </row>
    <row r="134" spans="1:25" ht="16" x14ac:dyDescent="0.2">
      <c r="A134" s="6"/>
      <c r="B134" s="10"/>
      <c r="C134" s="10"/>
      <c r="D134" s="10"/>
      <c r="E134" s="10"/>
      <c r="F134" s="10"/>
      <c r="G134" s="10"/>
      <c r="H134" s="10"/>
      <c r="I134" s="10"/>
      <c r="J134" s="10"/>
      <c r="K134" s="10"/>
      <c r="L134" s="10"/>
      <c r="M134" s="10"/>
      <c r="N134" s="10"/>
      <c r="O134" s="10"/>
      <c r="P134" s="11"/>
      <c r="Q134" s="11"/>
      <c r="R134" s="1"/>
      <c r="S134" s="1"/>
      <c r="T134" s="1"/>
      <c r="U134" s="1"/>
      <c r="V134" s="1"/>
      <c r="W134" s="1"/>
      <c r="X134" s="1"/>
      <c r="Y134" s="1"/>
    </row>
    <row r="135" spans="1:25" ht="16" x14ac:dyDescent="0.2">
      <c r="A135" s="6" t="s">
        <v>571</v>
      </c>
      <c r="B135" s="10"/>
      <c r="C135" s="10"/>
      <c r="D135" s="10"/>
      <c r="E135" s="10"/>
      <c r="F135" s="10"/>
      <c r="G135" s="10"/>
      <c r="H135" s="10"/>
      <c r="I135" s="10"/>
      <c r="J135" s="10"/>
      <c r="K135" s="10"/>
      <c r="L135" s="10"/>
      <c r="M135" s="10"/>
      <c r="N135" s="10"/>
      <c r="O135" s="10"/>
      <c r="P135" s="11"/>
      <c r="Q135" s="11"/>
      <c r="R135" s="1"/>
      <c r="S135" s="1"/>
      <c r="T135" s="1"/>
      <c r="U135" s="1"/>
      <c r="V135" s="1"/>
      <c r="W135" s="1"/>
      <c r="X135" s="1"/>
      <c r="Y135" s="1"/>
    </row>
    <row r="136" spans="1:25" ht="16" x14ac:dyDescent="0.2">
      <c r="A136" s="6"/>
      <c r="B136" s="10"/>
      <c r="C136" s="10"/>
      <c r="D136" s="10"/>
      <c r="E136" s="10"/>
      <c r="F136" s="10"/>
      <c r="G136" s="10"/>
      <c r="H136" s="10"/>
      <c r="I136" s="10"/>
      <c r="J136" s="10"/>
      <c r="K136" s="10"/>
      <c r="L136" s="10"/>
      <c r="M136" s="10"/>
      <c r="N136" s="10"/>
      <c r="O136" s="10"/>
      <c r="P136" s="11"/>
      <c r="Q136" s="11"/>
      <c r="R136" s="1"/>
      <c r="S136" s="1"/>
      <c r="T136" s="1"/>
      <c r="U136" s="1"/>
      <c r="V136" s="1"/>
      <c r="W136" s="1"/>
      <c r="X136" s="1"/>
      <c r="Y136" s="1"/>
    </row>
    <row r="137" spans="1:25" ht="16" x14ac:dyDescent="0.2">
      <c r="A137" s="6" t="s">
        <v>572</v>
      </c>
      <c r="B137" s="10"/>
      <c r="C137" s="10"/>
      <c r="D137" s="10"/>
      <c r="E137" s="10"/>
      <c r="F137" s="10"/>
      <c r="G137" s="10"/>
      <c r="H137" s="10"/>
      <c r="I137" s="10"/>
      <c r="J137" s="10"/>
      <c r="K137" s="10"/>
      <c r="L137" s="10"/>
      <c r="M137" s="10"/>
      <c r="N137" s="10"/>
      <c r="O137" s="10"/>
      <c r="P137" s="11"/>
      <c r="Q137" s="11"/>
      <c r="R137" s="1"/>
      <c r="S137" s="1"/>
      <c r="T137" s="1"/>
      <c r="U137" s="1"/>
      <c r="V137" s="1"/>
      <c r="W137" s="1"/>
      <c r="X137" s="1"/>
      <c r="Y137" s="1"/>
    </row>
    <row r="138" spans="1:25" ht="16" x14ac:dyDescent="0.2">
      <c r="A138" s="6"/>
      <c r="B138" s="10"/>
      <c r="C138" s="10"/>
      <c r="D138" s="10"/>
      <c r="E138" s="10"/>
      <c r="F138" s="10"/>
      <c r="G138" s="10"/>
      <c r="H138" s="10"/>
      <c r="I138" s="10"/>
      <c r="J138" s="10"/>
      <c r="K138" s="10"/>
      <c r="L138" s="10"/>
      <c r="M138" s="10"/>
      <c r="N138" s="10"/>
      <c r="O138" s="10"/>
      <c r="P138" s="11"/>
      <c r="Q138" s="11"/>
      <c r="R138" s="1"/>
      <c r="S138" s="1"/>
      <c r="T138" s="1"/>
      <c r="U138" s="1"/>
      <c r="V138" s="1"/>
      <c r="W138" s="1"/>
      <c r="X138" s="1"/>
      <c r="Y138" s="1"/>
    </row>
    <row r="139" spans="1:25" ht="16" x14ac:dyDescent="0.2">
      <c r="A139" s="6" t="s">
        <v>573</v>
      </c>
      <c r="B139" s="10"/>
      <c r="C139" s="10"/>
      <c r="D139" s="10"/>
      <c r="E139" s="10"/>
      <c r="F139" s="10"/>
      <c r="G139" s="10"/>
      <c r="H139" s="10"/>
      <c r="I139" s="10"/>
      <c r="J139" s="10"/>
      <c r="K139" s="10"/>
      <c r="L139" s="10"/>
      <c r="M139" s="10"/>
      <c r="N139" s="10"/>
      <c r="O139" s="10"/>
      <c r="P139" s="11"/>
      <c r="Q139" s="11"/>
      <c r="R139" s="1"/>
      <c r="S139" s="1"/>
      <c r="T139" s="1"/>
      <c r="U139" s="1"/>
      <c r="V139" s="1"/>
      <c r="W139" s="1"/>
      <c r="X139" s="1"/>
      <c r="Y139" s="1"/>
    </row>
    <row r="140" spans="1:25" ht="16" x14ac:dyDescent="0.2">
      <c r="A140" s="6"/>
      <c r="B140" s="10"/>
      <c r="C140" s="10"/>
      <c r="D140" s="10"/>
      <c r="E140" s="10"/>
      <c r="F140" s="10"/>
      <c r="G140" s="10"/>
      <c r="H140" s="10"/>
      <c r="I140" s="10"/>
      <c r="J140" s="10"/>
      <c r="K140" s="10"/>
      <c r="L140" s="10"/>
      <c r="M140" s="10"/>
      <c r="N140" s="10"/>
      <c r="O140" s="10"/>
      <c r="P140" s="11"/>
      <c r="Q140" s="11"/>
      <c r="R140" s="1"/>
      <c r="S140" s="1"/>
      <c r="T140" s="1"/>
      <c r="U140" s="1"/>
      <c r="V140" s="1"/>
      <c r="W140" s="1"/>
      <c r="X140" s="1"/>
      <c r="Y140" s="1"/>
    </row>
    <row r="141" spans="1:25" ht="16" x14ac:dyDescent="0.2">
      <c r="A141" s="6" t="s">
        <v>574</v>
      </c>
      <c r="B141" s="10"/>
      <c r="C141" s="10"/>
      <c r="D141" s="10"/>
      <c r="E141" s="10"/>
      <c r="F141" s="10"/>
      <c r="G141" s="10"/>
      <c r="H141" s="10"/>
      <c r="I141" s="10"/>
      <c r="J141" s="10"/>
      <c r="K141" s="10"/>
      <c r="L141" s="10"/>
      <c r="M141" s="10"/>
      <c r="N141" s="10"/>
      <c r="O141" s="10"/>
      <c r="P141" s="11"/>
      <c r="Q141" s="11"/>
      <c r="R141" s="1"/>
      <c r="S141" s="1"/>
      <c r="T141" s="1"/>
      <c r="U141" s="1"/>
      <c r="V141" s="1"/>
      <c r="W141" s="1"/>
      <c r="X141" s="1"/>
      <c r="Y141" s="1"/>
    </row>
    <row r="142" spans="1:25" ht="16" x14ac:dyDescent="0.2">
      <c r="A142" s="6"/>
      <c r="B142" s="10"/>
      <c r="C142" s="10"/>
      <c r="D142" s="10"/>
      <c r="E142" s="10"/>
      <c r="F142" s="10"/>
      <c r="G142" s="10"/>
      <c r="H142" s="10"/>
      <c r="I142" s="10"/>
      <c r="J142" s="10"/>
      <c r="K142" s="10"/>
      <c r="L142" s="10"/>
      <c r="M142" s="10"/>
      <c r="N142" s="10"/>
      <c r="O142" s="10"/>
      <c r="P142" s="11"/>
      <c r="Q142" s="11"/>
      <c r="R142" s="1"/>
      <c r="S142" s="1"/>
      <c r="T142" s="1"/>
      <c r="U142" s="1"/>
      <c r="V142" s="1"/>
      <c r="W142" s="1"/>
      <c r="X142" s="1"/>
      <c r="Y142" s="1"/>
    </row>
    <row r="143" spans="1:25" ht="16" x14ac:dyDescent="0.2">
      <c r="A143" s="6" t="s">
        <v>575</v>
      </c>
      <c r="B143" s="10"/>
      <c r="C143" s="10"/>
      <c r="D143" s="10"/>
      <c r="E143" s="10"/>
      <c r="F143" s="10"/>
      <c r="G143" s="10"/>
      <c r="H143" s="10"/>
      <c r="I143" s="10"/>
      <c r="J143" s="10"/>
      <c r="K143" s="10"/>
      <c r="L143" s="10"/>
      <c r="M143" s="10"/>
      <c r="N143" s="10"/>
      <c r="O143" s="10"/>
      <c r="P143" s="11"/>
      <c r="Q143" s="11"/>
      <c r="R143" s="1"/>
      <c r="S143" s="1"/>
      <c r="T143" s="1"/>
      <c r="U143" s="1"/>
      <c r="V143" s="1"/>
      <c r="W143" s="1"/>
      <c r="X143" s="1"/>
      <c r="Y143" s="1"/>
    </row>
    <row r="144" spans="1:25" ht="16" x14ac:dyDescent="0.2">
      <c r="A144" s="6"/>
      <c r="B144" s="10"/>
      <c r="C144" s="10"/>
      <c r="D144" s="10"/>
      <c r="E144" s="10"/>
      <c r="F144" s="10"/>
      <c r="G144" s="10"/>
      <c r="H144" s="10"/>
      <c r="I144" s="10"/>
      <c r="J144" s="10"/>
      <c r="K144" s="10"/>
      <c r="L144" s="10"/>
      <c r="M144" s="10"/>
      <c r="N144" s="10"/>
      <c r="O144" s="10"/>
      <c r="P144" s="11"/>
      <c r="Q144" s="11"/>
      <c r="R144" s="1"/>
      <c r="S144" s="1"/>
      <c r="T144" s="1"/>
      <c r="U144" s="1"/>
      <c r="V144" s="1"/>
      <c r="W144" s="1"/>
      <c r="X144" s="1"/>
      <c r="Y144" s="1"/>
    </row>
    <row r="145" spans="1:25" ht="16" x14ac:dyDescent="0.2">
      <c r="A145" s="6" t="s">
        <v>576</v>
      </c>
      <c r="B145" s="10"/>
      <c r="C145" s="10"/>
      <c r="D145" s="10"/>
      <c r="E145" s="10"/>
      <c r="F145" s="10"/>
      <c r="G145" s="10"/>
      <c r="H145" s="10"/>
      <c r="I145" s="10"/>
      <c r="J145" s="10"/>
      <c r="K145" s="10"/>
      <c r="L145" s="10"/>
      <c r="M145" s="10"/>
      <c r="N145" s="10"/>
      <c r="O145" s="10"/>
      <c r="P145" s="11"/>
      <c r="Q145" s="11"/>
      <c r="R145" s="1"/>
      <c r="S145" s="1"/>
      <c r="T145" s="1"/>
      <c r="U145" s="1"/>
      <c r="V145" s="1"/>
      <c r="W145" s="1"/>
      <c r="X145" s="1"/>
      <c r="Y145" s="1"/>
    </row>
    <row r="146" spans="1:25" ht="16" x14ac:dyDescent="0.2">
      <c r="A146" s="6"/>
      <c r="B146" s="10"/>
      <c r="C146" s="10"/>
      <c r="D146" s="10"/>
      <c r="E146" s="10"/>
      <c r="F146" s="10"/>
      <c r="G146" s="10"/>
      <c r="H146" s="10"/>
      <c r="I146" s="10"/>
      <c r="J146" s="10"/>
      <c r="K146" s="10"/>
      <c r="L146" s="10"/>
      <c r="M146" s="10"/>
      <c r="N146" s="10"/>
      <c r="O146" s="10"/>
      <c r="P146" s="11"/>
      <c r="Q146" s="11"/>
      <c r="R146" s="1"/>
      <c r="S146" s="1"/>
      <c r="T146" s="1"/>
      <c r="U146" s="1"/>
      <c r="V146" s="1"/>
      <c r="W146" s="1"/>
      <c r="X146" s="1"/>
      <c r="Y146" s="1"/>
    </row>
    <row r="147" spans="1:25" ht="16" x14ac:dyDescent="0.2">
      <c r="A147" s="6" t="s">
        <v>577</v>
      </c>
      <c r="B147" s="10"/>
      <c r="C147" s="10"/>
      <c r="D147" s="10"/>
      <c r="E147" s="10"/>
      <c r="F147" s="10"/>
      <c r="G147" s="10"/>
      <c r="H147" s="10"/>
      <c r="I147" s="10"/>
      <c r="J147" s="10"/>
      <c r="K147" s="10"/>
      <c r="L147" s="10"/>
      <c r="M147" s="10"/>
      <c r="N147" s="10"/>
      <c r="O147" s="10"/>
      <c r="P147" s="11"/>
      <c r="Q147" s="11"/>
      <c r="R147" s="1"/>
      <c r="S147" s="1"/>
      <c r="T147" s="1"/>
      <c r="U147" s="1"/>
      <c r="V147" s="1"/>
      <c r="W147" s="1"/>
      <c r="X147" s="1"/>
      <c r="Y147" s="1"/>
    </row>
    <row r="148" spans="1:25" ht="16" x14ac:dyDescent="0.2">
      <c r="A148" s="6"/>
      <c r="B148" s="10"/>
      <c r="C148" s="10"/>
      <c r="D148" s="10"/>
      <c r="E148" s="10"/>
      <c r="F148" s="10"/>
      <c r="G148" s="10"/>
      <c r="H148" s="10"/>
      <c r="I148" s="10"/>
      <c r="J148" s="10"/>
      <c r="K148" s="10"/>
      <c r="L148" s="10"/>
      <c r="M148" s="10"/>
      <c r="N148" s="10"/>
      <c r="O148" s="10"/>
      <c r="P148" s="11"/>
      <c r="Q148" s="11"/>
      <c r="R148" s="1"/>
      <c r="S148" s="1"/>
      <c r="T148" s="1"/>
      <c r="U148" s="1"/>
      <c r="V148" s="1"/>
      <c r="W148" s="1"/>
      <c r="X148" s="1"/>
      <c r="Y148" s="1"/>
    </row>
    <row r="149" spans="1:25" ht="16" x14ac:dyDescent="0.2">
      <c r="A149" s="6" t="s">
        <v>578</v>
      </c>
      <c r="B149" s="10"/>
      <c r="C149" s="10"/>
      <c r="D149" s="10"/>
      <c r="E149" s="10"/>
      <c r="F149" s="10"/>
      <c r="G149" s="10"/>
      <c r="H149" s="10"/>
      <c r="I149" s="10"/>
      <c r="J149" s="10"/>
      <c r="K149" s="10"/>
      <c r="L149" s="10"/>
      <c r="M149" s="10"/>
      <c r="N149" s="10"/>
      <c r="O149" s="10"/>
      <c r="P149" s="11"/>
      <c r="Q149" s="11"/>
      <c r="R149" s="1"/>
      <c r="S149" s="1"/>
      <c r="T149" s="1"/>
      <c r="U149" s="1"/>
      <c r="V149" s="1"/>
      <c r="W149" s="1"/>
      <c r="X149" s="1"/>
      <c r="Y149" s="1"/>
    </row>
    <row r="150" spans="1:25" ht="16" x14ac:dyDescent="0.2">
      <c r="A150" s="6"/>
      <c r="B150" s="10"/>
      <c r="C150" s="10"/>
      <c r="D150" s="10"/>
      <c r="E150" s="10"/>
      <c r="F150" s="10"/>
      <c r="G150" s="10"/>
      <c r="H150" s="10"/>
      <c r="I150" s="10"/>
      <c r="J150" s="10"/>
      <c r="K150" s="10"/>
      <c r="L150" s="10"/>
      <c r="M150" s="10"/>
      <c r="N150" s="10"/>
      <c r="O150" s="10"/>
      <c r="P150" s="11"/>
      <c r="Q150" s="11"/>
      <c r="R150" s="1"/>
      <c r="S150" s="1"/>
      <c r="T150" s="1"/>
      <c r="U150" s="1"/>
      <c r="V150" s="1"/>
      <c r="W150" s="1"/>
      <c r="X150" s="1"/>
      <c r="Y150" s="1"/>
    </row>
    <row r="151" spans="1:25" ht="16" x14ac:dyDescent="0.2">
      <c r="A151" s="6" t="s">
        <v>579</v>
      </c>
      <c r="B151" s="10"/>
      <c r="C151" s="10"/>
      <c r="D151" s="10"/>
      <c r="E151" s="10"/>
      <c r="F151" s="10"/>
      <c r="G151" s="10"/>
      <c r="H151" s="10"/>
      <c r="I151" s="10"/>
      <c r="J151" s="10"/>
      <c r="K151" s="10"/>
      <c r="L151" s="10"/>
      <c r="M151" s="10"/>
      <c r="N151" s="10"/>
      <c r="O151" s="10"/>
      <c r="P151" s="11"/>
      <c r="Q151" s="11"/>
      <c r="R151" s="1"/>
      <c r="S151" s="1"/>
      <c r="T151" s="1"/>
      <c r="U151" s="1"/>
      <c r="V151" s="1"/>
      <c r="W151" s="1"/>
      <c r="X151" s="1"/>
      <c r="Y151" s="1"/>
    </row>
    <row r="152" spans="1:25" ht="16" x14ac:dyDescent="0.2">
      <c r="A152" s="6"/>
      <c r="B152" s="10"/>
      <c r="C152" s="10"/>
      <c r="D152" s="10"/>
      <c r="E152" s="10"/>
      <c r="F152" s="10"/>
      <c r="G152" s="10"/>
      <c r="H152" s="10"/>
      <c r="I152" s="10"/>
      <c r="J152" s="10"/>
      <c r="K152" s="10"/>
      <c r="L152" s="10"/>
      <c r="M152" s="10"/>
      <c r="N152" s="10"/>
      <c r="O152" s="10"/>
      <c r="P152" s="11"/>
      <c r="Q152" s="11"/>
      <c r="R152" s="1"/>
      <c r="S152" s="1"/>
      <c r="T152" s="1"/>
      <c r="U152" s="1"/>
      <c r="V152" s="1"/>
      <c r="W152" s="1"/>
      <c r="X152" s="1"/>
      <c r="Y152" s="1"/>
    </row>
    <row r="153" spans="1:25" ht="16" x14ac:dyDescent="0.2">
      <c r="A153" s="6" t="s">
        <v>580</v>
      </c>
      <c r="B153" s="10"/>
      <c r="C153" s="10"/>
      <c r="D153" s="10"/>
      <c r="E153" s="10"/>
      <c r="F153" s="10"/>
      <c r="G153" s="10"/>
      <c r="H153" s="10"/>
      <c r="I153" s="10"/>
      <c r="J153" s="10"/>
      <c r="K153" s="10"/>
      <c r="L153" s="10"/>
      <c r="M153" s="10"/>
      <c r="N153" s="10"/>
      <c r="O153" s="10"/>
      <c r="P153" s="11"/>
      <c r="Q153" s="11"/>
      <c r="R153" s="1"/>
      <c r="S153" s="1"/>
      <c r="T153" s="1"/>
      <c r="U153" s="1"/>
      <c r="V153" s="1"/>
      <c r="W153" s="1"/>
      <c r="X153" s="1"/>
      <c r="Y153" s="1"/>
    </row>
    <row r="154" spans="1:25" ht="16" x14ac:dyDescent="0.2">
      <c r="A154" s="6"/>
      <c r="B154" s="10"/>
      <c r="C154" s="10"/>
      <c r="D154" s="10"/>
      <c r="E154" s="10"/>
      <c r="F154" s="10"/>
      <c r="G154" s="10"/>
      <c r="H154" s="10"/>
      <c r="I154" s="10"/>
      <c r="J154" s="10"/>
      <c r="K154" s="10"/>
      <c r="L154" s="10"/>
      <c r="M154" s="10"/>
      <c r="N154" s="10"/>
      <c r="O154" s="10"/>
      <c r="P154" s="11"/>
      <c r="Q154" s="11"/>
      <c r="R154" s="1"/>
      <c r="S154" s="1"/>
      <c r="T154" s="1"/>
      <c r="U154" s="1"/>
      <c r="V154" s="1"/>
      <c r="W154" s="1"/>
      <c r="X154" s="1"/>
      <c r="Y154" s="1"/>
    </row>
    <row r="155" spans="1:25" ht="16" x14ac:dyDescent="0.2">
      <c r="A155" s="6" t="s">
        <v>581</v>
      </c>
      <c r="B155" s="10"/>
      <c r="C155" s="10"/>
      <c r="D155" s="10"/>
      <c r="E155" s="10"/>
      <c r="F155" s="10"/>
      <c r="G155" s="10"/>
      <c r="H155" s="10"/>
      <c r="I155" s="10"/>
      <c r="J155" s="10"/>
      <c r="K155" s="10"/>
      <c r="L155" s="10"/>
      <c r="M155" s="10"/>
      <c r="N155" s="10"/>
      <c r="O155" s="10"/>
      <c r="P155" s="11"/>
      <c r="Q155" s="11"/>
      <c r="R155" s="1"/>
      <c r="S155" s="1"/>
      <c r="T155" s="1"/>
      <c r="U155" s="1"/>
      <c r="V155" s="1"/>
      <c r="W155" s="1"/>
      <c r="X155" s="1"/>
      <c r="Y155" s="1"/>
    </row>
    <row r="156" spans="1:25" ht="16" x14ac:dyDescent="0.2">
      <c r="A156" s="6"/>
      <c r="B156" s="10"/>
      <c r="C156" s="10"/>
      <c r="D156" s="10"/>
      <c r="E156" s="10"/>
      <c r="F156" s="10"/>
      <c r="G156" s="10"/>
      <c r="H156" s="10"/>
      <c r="I156" s="10"/>
      <c r="J156" s="10"/>
      <c r="K156" s="10"/>
      <c r="L156" s="10"/>
      <c r="M156" s="10"/>
      <c r="N156" s="10"/>
      <c r="O156" s="10"/>
      <c r="P156" s="11"/>
      <c r="Q156" s="11"/>
      <c r="R156" s="1"/>
      <c r="S156" s="1"/>
      <c r="T156" s="1"/>
      <c r="U156" s="1"/>
      <c r="V156" s="1"/>
      <c r="W156" s="1"/>
      <c r="X156" s="1"/>
      <c r="Y156" s="1"/>
    </row>
    <row r="157" spans="1:25" ht="16" x14ac:dyDescent="0.2">
      <c r="A157" s="6" t="s">
        <v>582</v>
      </c>
      <c r="B157" s="10"/>
      <c r="C157" s="10"/>
      <c r="D157" s="10"/>
      <c r="E157" s="10"/>
      <c r="F157" s="10"/>
      <c r="G157" s="10"/>
      <c r="H157" s="10"/>
      <c r="I157" s="10"/>
      <c r="J157" s="10"/>
      <c r="K157" s="10"/>
      <c r="L157" s="10"/>
      <c r="M157" s="10"/>
      <c r="N157" s="10"/>
      <c r="O157" s="10"/>
      <c r="P157" s="11"/>
      <c r="Q157" s="11"/>
      <c r="R157" s="1"/>
      <c r="S157" s="1"/>
      <c r="T157" s="1"/>
      <c r="U157" s="1"/>
      <c r="V157" s="1"/>
      <c r="W157" s="1"/>
      <c r="X157" s="1"/>
      <c r="Y157" s="1"/>
    </row>
    <row r="158" spans="1:25" ht="16" x14ac:dyDescent="0.2">
      <c r="A158" s="6"/>
      <c r="B158" s="10"/>
      <c r="C158" s="10"/>
      <c r="D158" s="10"/>
      <c r="E158" s="10"/>
      <c r="F158" s="10"/>
      <c r="G158" s="10"/>
      <c r="H158" s="10"/>
      <c r="I158" s="10"/>
      <c r="J158" s="10"/>
      <c r="K158" s="10"/>
      <c r="L158" s="10"/>
      <c r="M158" s="10"/>
      <c r="N158" s="10"/>
      <c r="O158" s="10"/>
      <c r="P158" s="11"/>
      <c r="Q158" s="11"/>
      <c r="R158" s="1"/>
      <c r="S158" s="1"/>
      <c r="T158" s="1"/>
      <c r="U158" s="1"/>
      <c r="V158" s="1"/>
      <c r="W158" s="1"/>
      <c r="X158" s="1"/>
      <c r="Y158" s="1"/>
    </row>
    <row r="159" spans="1:25" ht="16" x14ac:dyDescent="0.2">
      <c r="A159" s="6" t="s">
        <v>583</v>
      </c>
      <c r="B159" s="10"/>
      <c r="C159" s="10"/>
      <c r="D159" s="10"/>
      <c r="E159" s="10"/>
      <c r="F159" s="10"/>
      <c r="G159" s="10"/>
      <c r="H159" s="10"/>
      <c r="I159" s="10"/>
      <c r="J159" s="10"/>
      <c r="K159" s="10"/>
      <c r="L159" s="10"/>
      <c r="M159" s="10"/>
      <c r="N159" s="10"/>
      <c r="O159" s="10"/>
      <c r="P159" s="11"/>
      <c r="Q159" s="11"/>
      <c r="R159" s="1"/>
      <c r="S159" s="1"/>
      <c r="T159" s="1"/>
      <c r="U159" s="1"/>
      <c r="V159" s="1"/>
      <c r="W159" s="1"/>
      <c r="X159" s="1"/>
      <c r="Y159" s="1"/>
    </row>
    <row r="160" spans="1:25" ht="16" x14ac:dyDescent="0.2">
      <c r="A160" s="6"/>
      <c r="B160" s="10"/>
      <c r="C160" s="10"/>
      <c r="D160" s="10"/>
      <c r="E160" s="10"/>
      <c r="F160" s="10"/>
      <c r="G160" s="10"/>
      <c r="H160" s="10"/>
      <c r="I160" s="10"/>
      <c r="J160" s="10"/>
      <c r="K160" s="10"/>
      <c r="L160" s="10"/>
      <c r="M160" s="10"/>
      <c r="N160" s="10"/>
      <c r="O160" s="10"/>
      <c r="P160" s="11"/>
      <c r="Q160" s="11"/>
      <c r="R160" s="1"/>
      <c r="S160" s="1"/>
      <c r="T160" s="1"/>
      <c r="U160" s="1"/>
      <c r="V160" s="1"/>
      <c r="W160" s="1"/>
      <c r="X160" s="1"/>
      <c r="Y160" s="1"/>
    </row>
    <row r="161" spans="1:25" ht="16" x14ac:dyDescent="0.2">
      <c r="A161" s="6" t="s">
        <v>584</v>
      </c>
      <c r="B161" s="10"/>
      <c r="C161" s="10"/>
      <c r="D161" s="10"/>
      <c r="E161" s="10"/>
      <c r="F161" s="10"/>
      <c r="G161" s="10"/>
      <c r="H161" s="10"/>
      <c r="I161" s="10"/>
      <c r="J161" s="10"/>
      <c r="K161" s="10"/>
      <c r="L161" s="10"/>
      <c r="M161" s="10"/>
      <c r="N161" s="10"/>
      <c r="O161" s="10"/>
      <c r="P161" s="11"/>
      <c r="Q161" s="11"/>
      <c r="R161" s="1"/>
      <c r="S161" s="1"/>
      <c r="T161" s="1"/>
      <c r="U161" s="1"/>
      <c r="V161" s="1"/>
      <c r="W161" s="1"/>
      <c r="X161" s="1"/>
      <c r="Y161" s="1"/>
    </row>
    <row r="162" spans="1:25" ht="16" x14ac:dyDescent="0.2">
      <c r="A162" s="6"/>
      <c r="B162" s="10"/>
      <c r="C162" s="10"/>
      <c r="D162" s="10"/>
      <c r="E162" s="10"/>
      <c r="F162" s="10"/>
      <c r="G162" s="10"/>
      <c r="H162" s="10"/>
      <c r="I162" s="10"/>
      <c r="J162" s="10"/>
      <c r="K162" s="10"/>
      <c r="L162" s="10"/>
      <c r="M162" s="10"/>
      <c r="N162" s="10"/>
      <c r="O162" s="10"/>
      <c r="P162" s="11"/>
      <c r="Q162" s="11"/>
      <c r="R162" s="1"/>
      <c r="S162" s="1"/>
      <c r="T162" s="1"/>
      <c r="U162" s="1"/>
      <c r="V162" s="1"/>
      <c r="W162" s="1"/>
      <c r="X162" s="1"/>
      <c r="Y162" s="1"/>
    </row>
    <row r="163" spans="1:25" ht="16" x14ac:dyDescent="0.2">
      <c r="A163" s="6" t="s">
        <v>585</v>
      </c>
      <c r="B163" s="10"/>
      <c r="C163" s="10"/>
      <c r="D163" s="10"/>
      <c r="E163" s="10"/>
      <c r="F163" s="10"/>
      <c r="G163" s="10"/>
      <c r="H163" s="10"/>
      <c r="I163" s="10"/>
      <c r="J163" s="10"/>
      <c r="K163" s="10"/>
      <c r="L163" s="10"/>
      <c r="M163" s="10"/>
      <c r="N163" s="10"/>
      <c r="O163" s="10"/>
      <c r="P163" s="11"/>
      <c r="Q163" s="11"/>
      <c r="R163" s="1"/>
      <c r="S163" s="1"/>
      <c r="T163" s="1"/>
      <c r="U163" s="1"/>
      <c r="V163" s="1"/>
      <c r="W163" s="1"/>
      <c r="X163" s="1"/>
      <c r="Y163" s="1"/>
    </row>
    <row r="164" spans="1:25" ht="16" x14ac:dyDescent="0.2">
      <c r="A164" s="6"/>
      <c r="B164" s="10"/>
      <c r="C164" s="10"/>
      <c r="D164" s="10"/>
      <c r="E164" s="10"/>
      <c r="F164" s="10"/>
      <c r="G164" s="10"/>
      <c r="H164" s="10"/>
      <c r="I164" s="10"/>
      <c r="J164" s="10"/>
      <c r="K164" s="10"/>
      <c r="L164" s="10"/>
      <c r="M164" s="10"/>
      <c r="N164" s="10"/>
      <c r="O164" s="10"/>
      <c r="P164" s="11"/>
      <c r="Q164" s="11"/>
      <c r="R164" s="1"/>
      <c r="S164" s="1"/>
      <c r="T164" s="1"/>
      <c r="U164" s="1"/>
      <c r="V164" s="1"/>
      <c r="W164" s="1"/>
      <c r="X164" s="1"/>
      <c r="Y164" s="1"/>
    </row>
    <row r="165" spans="1:25" ht="16" x14ac:dyDescent="0.2">
      <c r="A165" s="6" t="s">
        <v>586</v>
      </c>
      <c r="B165" s="10"/>
      <c r="C165" s="10"/>
      <c r="D165" s="10"/>
      <c r="E165" s="10"/>
      <c r="F165" s="10"/>
      <c r="G165" s="10"/>
      <c r="H165" s="10"/>
      <c r="I165" s="10"/>
      <c r="J165" s="10"/>
      <c r="K165" s="10"/>
      <c r="L165" s="10"/>
      <c r="M165" s="10"/>
      <c r="N165" s="10"/>
      <c r="O165" s="10"/>
      <c r="P165" s="11"/>
      <c r="Q165" s="11"/>
      <c r="R165" s="1"/>
      <c r="S165" s="1"/>
      <c r="T165" s="1"/>
      <c r="U165" s="1"/>
      <c r="V165" s="1"/>
      <c r="W165" s="1"/>
      <c r="X165" s="1"/>
      <c r="Y165" s="1"/>
    </row>
    <row r="166" spans="1:25" ht="16" x14ac:dyDescent="0.2">
      <c r="A166" s="6"/>
      <c r="B166" s="10"/>
      <c r="C166" s="10"/>
      <c r="D166" s="10"/>
      <c r="E166" s="10"/>
      <c r="F166" s="10"/>
      <c r="G166" s="10"/>
      <c r="H166" s="10"/>
      <c r="I166" s="10"/>
      <c r="J166" s="10"/>
      <c r="K166" s="10"/>
      <c r="L166" s="10"/>
      <c r="M166" s="10"/>
      <c r="N166" s="10"/>
      <c r="O166" s="10"/>
      <c r="P166" s="11"/>
      <c r="Q166" s="11"/>
      <c r="R166" s="1"/>
      <c r="S166" s="1"/>
      <c r="T166" s="1"/>
      <c r="U166" s="1"/>
      <c r="V166" s="1"/>
      <c r="W166" s="1"/>
      <c r="X166" s="1"/>
      <c r="Y166" s="1"/>
    </row>
    <row r="167" spans="1:25" ht="16" x14ac:dyDescent="0.2">
      <c r="A167" s="6" t="s">
        <v>587</v>
      </c>
      <c r="B167" s="10"/>
      <c r="C167" s="10"/>
      <c r="D167" s="10"/>
      <c r="E167" s="10"/>
      <c r="F167" s="10"/>
      <c r="G167" s="10"/>
      <c r="H167" s="10"/>
      <c r="I167" s="10"/>
      <c r="J167" s="10"/>
      <c r="K167" s="10"/>
      <c r="L167" s="10"/>
      <c r="M167" s="10"/>
      <c r="N167" s="10"/>
      <c r="O167" s="10"/>
      <c r="P167" s="11"/>
      <c r="Q167" s="11"/>
      <c r="R167" s="1"/>
      <c r="S167" s="1"/>
      <c r="T167" s="1"/>
      <c r="U167" s="1"/>
      <c r="V167" s="1"/>
      <c r="W167" s="1"/>
      <c r="X167" s="1"/>
      <c r="Y167" s="1"/>
    </row>
    <row r="168" spans="1:25" ht="16" x14ac:dyDescent="0.2">
      <c r="A168" s="6"/>
      <c r="B168" s="10"/>
      <c r="C168" s="10"/>
      <c r="D168" s="10"/>
      <c r="E168" s="10"/>
      <c r="F168" s="10"/>
      <c r="G168" s="10"/>
      <c r="H168" s="10"/>
      <c r="I168" s="10"/>
      <c r="J168" s="10"/>
      <c r="K168" s="10"/>
      <c r="L168" s="10"/>
      <c r="M168" s="10"/>
      <c r="N168" s="10"/>
      <c r="O168" s="10"/>
      <c r="P168" s="11"/>
      <c r="Q168" s="11"/>
      <c r="R168" s="1"/>
      <c r="S168" s="1"/>
      <c r="T168" s="1"/>
      <c r="U168" s="1"/>
      <c r="V168" s="1"/>
      <c r="W168" s="1"/>
      <c r="X168" s="1"/>
      <c r="Y168" s="1"/>
    </row>
    <row r="169" spans="1:25" ht="16" x14ac:dyDescent="0.2">
      <c r="A169" s="6" t="s">
        <v>588</v>
      </c>
      <c r="B169" s="10"/>
      <c r="C169" s="10"/>
      <c r="D169" s="10"/>
      <c r="E169" s="10"/>
      <c r="F169" s="10"/>
      <c r="G169" s="10"/>
      <c r="H169" s="10"/>
      <c r="I169" s="10"/>
      <c r="J169" s="10"/>
      <c r="K169" s="10"/>
      <c r="L169" s="10"/>
      <c r="M169" s="10"/>
      <c r="N169" s="10"/>
      <c r="O169" s="10"/>
      <c r="P169" s="11"/>
      <c r="Q169" s="11"/>
      <c r="R169" s="1"/>
      <c r="S169" s="1"/>
      <c r="T169" s="1"/>
      <c r="U169" s="1"/>
      <c r="V169" s="1"/>
      <c r="W169" s="1"/>
      <c r="X169" s="1"/>
      <c r="Y169" s="1"/>
    </row>
    <row r="170" spans="1:25" ht="16" x14ac:dyDescent="0.2">
      <c r="A170" s="6"/>
      <c r="B170" s="10"/>
      <c r="C170" s="10"/>
      <c r="D170" s="10"/>
      <c r="E170" s="10"/>
      <c r="F170" s="10"/>
      <c r="G170" s="10"/>
      <c r="H170" s="10"/>
      <c r="I170" s="10"/>
      <c r="J170" s="10"/>
      <c r="K170" s="10"/>
      <c r="L170" s="10"/>
      <c r="M170" s="10"/>
      <c r="N170" s="10"/>
      <c r="O170" s="10"/>
      <c r="P170" s="11"/>
      <c r="Q170" s="11"/>
      <c r="R170" s="1"/>
      <c r="S170" s="1"/>
      <c r="T170" s="1"/>
      <c r="U170" s="1"/>
      <c r="V170" s="1"/>
      <c r="W170" s="1"/>
      <c r="X170" s="1"/>
      <c r="Y170" s="1"/>
    </row>
    <row r="171" spans="1:25" ht="16" x14ac:dyDescent="0.2">
      <c r="A171" s="6" t="s">
        <v>589</v>
      </c>
      <c r="B171" s="10"/>
      <c r="C171" s="10"/>
      <c r="D171" s="10"/>
      <c r="E171" s="10"/>
      <c r="F171" s="10"/>
      <c r="G171" s="10"/>
      <c r="H171" s="10"/>
      <c r="I171" s="10"/>
      <c r="J171" s="10"/>
      <c r="K171" s="10"/>
      <c r="L171" s="10"/>
      <c r="M171" s="10"/>
      <c r="N171" s="10"/>
      <c r="O171" s="10"/>
      <c r="P171" s="11"/>
      <c r="Q171" s="11"/>
      <c r="R171" s="1"/>
      <c r="S171" s="1"/>
      <c r="T171" s="1"/>
      <c r="U171" s="1"/>
      <c r="V171" s="1"/>
      <c r="W171" s="1"/>
      <c r="X171" s="1"/>
      <c r="Y171" s="1"/>
    </row>
    <row r="172" spans="1:25" ht="16" x14ac:dyDescent="0.2">
      <c r="A172" s="6"/>
      <c r="B172" s="10"/>
      <c r="C172" s="10"/>
      <c r="D172" s="10"/>
      <c r="E172" s="10"/>
      <c r="F172" s="10"/>
      <c r="G172" s="10"/>
      <c r="H172" s="10"/>
      <c r="I172" s="10"/>
      <c r="J172" s="10"/>
      <c r="K172" s="10"/>
      <c r="L172" s="10"/>
      <c r="M172" s="10"/>
      <c r="N172" s="10"/>
      <c r="O172" s="10"/>
      <c r="P172" s="11"/>
      <c r="Q172" s="11"/>
      <c r="R172" s="1"/>
      <c r="S172" s="1"/>
      <c r="T172" s="1"/>
      <c r="U172" s="1"/>
      <c r="V172" s="1"/>
      <c r="W172" s="1"/>
      <c r="X172" s="1"/>
      <c r="Y172" s="1"/>
    </row>
    <row r="173" spans="1:25" ht="16" x14ac:dyDescent="0.2">
      <c r="A173" s="6" t="s">
        <v>590</v>
      </c>
      <c r="B173" s="10"/>
      <c r="C173" s="10"/>
      <c r="D173" s="10"/>
      <c r="E173" s="10"/>
      <c r="F173" s="10"/>
      <c r="G173" s="10"/>
      <c r="H173" s="10"/>
      <c r="I173" s="10"/>
      <c r="J173" s="10"/>
      <c r="K173" s="10"/>
      <c r="L173" s="10"/>
      <c r="M173" s="10"/>
      <c r="N173" s="10"/>
      <c r="O173" s="10"/>
      <c r="P173" s="11"/>
      <c r="Q173" s="11"/>
      <c r="R173" s="1"/>
      <c r="S173" s="1"/>
      <c r="T173" s="1"/>
      <c r="U173" s="1"/>
      <c r="V173" s="1"/>
      <c r="W173" s="1"/>
      <c r="X173" s="1"/>
      <c r="Y173" s="1"/>
    </row>
    <row r="174" spans="1:25" ht="16" x14ac:dyDescent="0.2">
      <c r="A174" s="6"/>
      <c r="B174" s="10"/>
      <c r="C174" s="10"/>
      <c r="D174" s="10"/>
      <c r="E174" s="10"/>
      <c r="F174" s="10"/>
      <c r="G174" s="10"/>
      <c r="H174" s="10"/>
      <c r="I174" s="10"/>
      <c r="J174" s="10"/>
      <c r="K174" s="10"/>
      <c r="L174" s="10"/>
      <c r="M174" s="10"/>
      <c r="N174" s="10"/>
      <c r="O174" s="10"/>
      <c r="P174" s="11"/>
      <c r="Q174" s="11"/>
      <c r="R174" s="1"/>
      <c r="S174" s="1"/>
      <c r="T174" s="1"/>
      <c r="U174" s="1"/>
      <c r="V174" s="1"/>
      <c r="W174" s="1"/>
      <c r="X174" s="1"/>
      <c r="Y174" s="1"/>
    </row>
    <row r="175" spans="1:25" ht="16" x14ac:dyDescent="0.2">
      <c r="A175" s="6" t="s">
        <v>591</v>
      </c>
      <c r="B175" s="10"/>
      <c r="C175" s="10"/>
      <c r="D175" s="10"/>
      <c r="E175" s="10"/>
      <c r="F175" s="10"/>
      <c r="G175" s="10"/>
      <c r="H175" s="10"/>
      <c r="I175" s="10"/>
      <c r="J175" s="10"/>
      <c r="K175" s="10"/>
      <c r="L175" s="10"/>
      <c r="M175" s="10"/>
      <c r="N175" s="10"/>
      <c r="O175" s="10"/>
      <c r="P175" s="11"/>
      <c r="Q175" s="11"/>
      <c r="R175" s="1"/>
      <c r="S175" s="1"/>
      <c r="T175" s="1"/>
      <c r="U175" s="1"/>
      <c r="V175" s="1"/>
      <c r="W175" s="1"/>
      <c r="X175" s="1"/>
      <c r="Y175" s="1"/>
    </row>
    <row r="176" spans="1:25" ht="16" x14ac:dyDescent="0.2">
      <c r="A176" s="6"/>
      <c r="B176" s="10"/>
      <c r="C176" s="10"/>
      <c r="D176" s="10"/>
      <c r="E176" s="10"/>
      <c r="F176" s="10"/>
      <c r="G176" s="10"/>
      <c r="H176" s="10"/>
      <c r="I176" s="10"/>
      <c r="J176" s="10"/>
      <c r="K176" s="10"/>
      <c r="L176" s="10"/>
      <c r="M176" s="10"/>
      <c r="N176" s="10"/>
      <c r="O176" s="10"/>
      <c r="P176" s="11"/>
      <c r="Q176" s="11"/>
      <c r="R176" s="1"/>
      <c r="S176" s="1"/>
      <c r="T176" s="1"/>
      <c r="U176" s="1"/>
      <c r="V176" s="1"/>
      <c r="W176" s="1"/>
      <c r="X176" s="1"/>
      <c r="Y176" s="1"/>
    </row>
    <row r="177" spans="1:25" ht="16" x14ac:dyDescent="0.2">
      <c r="A177" s="6" t="s">
        <v>592</v>
      </c>
      <c r="B177" s="10"/>
      <c r="C177" s="10"/>
      <c r="D177" s="10"/>
      <c r="E177" s="10"/>
      <c r="F177" s="10"/>
      <c r="G177" s="10"/>
      <c r="H177" s="10"/>
      <c r="I177" s="10"/>
      <c r="J177" s="10"/>
      <c r="K177" s="10"/>
      <c r="L177" s="10"/>
      <c r="M177" s="10"/>
      <c r="N177" s="10"/>
      <c r="O177" s="10"/>
      <c r="P177" s="11"/>
      <c r="Q177" s="11"/>
      <c r="R177" s="1"/>
      <c r="S177" s="1"/>
      <c r="T177" s="1"/>
      <c r="U177" s="1"/>
      <c r="V177" s="1"/>
      <c r="W177" s="1"/>
      <c r="X177" s="1"/>
      <c r="Y177" s="1"/>
    </row>
    <row r="178" spans="1:25" ht="16" x14ac:dyDescent="0.2">
      <c r="A178" s="6"/>
      <c r="B178" s="10"/>
      <c r="C178" s="10"/>
      <c r="D178" s="10"/>
      <c r="E178" s="10"/>
      <c r="F178" s="10"/>
      <c r="G178" s="10"/>
      <c r="H178" s="10"/>
      <c r="I178" s="10"/>
      <c r="J178" s="10"/>
      <c r="K178" s="10"/>
      <c r="L178" s="10"/>
      <c r="M178" s="10"/>
      <c r="N178" s="10"/>
      <c r="O178" s="10"/>
      <c r="P178" s="11"/>
      <c r="Q178" s="11"/>
      <c r="R178" s="1"/>
      <c r="S178" s="1"/>
      <c r="T178" s="1"/>
      <c r="U178" s="1"/>
      <c r="V178" s="1"/>
      <c r="W178" s="1"/>
      <c r="X178" s="1"/>
      <c r="Y178" s="1"/>
    </row>
    <row r="179" spans="1:25" ht="16" x14ac:dyDescent="0.2">
      <c r="A179" s="6" t="s">
        <v>593</v>
      </c>
      <c r="B179" s="10"/>
      <c r="C179" s="10"/>
      <c r="D179" s="10"/>
      <c r="E179" s="10"/>
      <c r="F179" s="10"/>
      <c r="G179" s="10"/>
      <c r="H179" s="10"/>
      <c r="I179" s="10"/>
      <c r="J179" s="10"/>
      <c r="K179" s="10"/>
      <c r="L179" s="10"/>
      <c r="M179" s="10"/>
      <c r="N179" s="10"/>
      <c r="O179" s="10"/>
      <c r="P179" s="11"/>
      <c r="Q179" s="11"/>
      <c r="R179" s="1"/>
      <c r="S179" s="1"/>
      <c r="T179" s="1"/>
      <c r="U179" s="1"/>
      <c r="V179" s="1"/>
      <c r="W179" s="1"/>
      <c r="X179" s="1"/>
      <c r="Y179" s="1"/>
    </row>
    <row r="180" spans="1:25" ht="16" x14ac:dyDescent="0.2">
      <c r="A180" s="6"/>
      <c r="B180" s="10"/>
      <c r="C180" s="10"/>
      <c r="D180" s="10"/>
      <c r="E180" s="10"/>
      <c r="F180" s="10"/>
      <c r="G180" s="10"/>
      <c r="H180" s="10"/>
      <c r="I180" s="10"/>
      <c r="J180" s="10"/>
      <c r="K180" s="10"/>
      <c r="L180" s="10"/>
      <c r="M180" s="10"/>
      <c r="N180" s="10"/>
      <c r="O180" s="10"/>
      <c r="P180" s="11"/>
      <c r="Q180" s="11"/>
      <c r="R180" s="1"/>
      <c r="S180" s="1"/>
      <c r="T180" s="1"/>
      <c r="U180" s="1"/>
      <c r="V180" s="1"/>
      <c r="W180" s="1"/>
      <c r="X180" s="1"/>
      <c r="Y180" s="1"/>
    </row>
    <row r="181" spans="1:25" ht="16" x14ac:dyDescent="0.2">
      <c r="A181" s="6" t="s">
        <v>594</v>
      </c>
      <c r="B181" s="10"/>
      <c r="C181" s="10"/>
      <c r="D181" s="10"/>
      <c r="E181" s="10"/>
      <c r="F181" s="10"/>
      <c r="G181" s="10"/>
      <c r="H181" s="10"/>
      <c r="I181" s="10"/>
      <c r="J181" s="10"/>
      <c r="K181" s="10"/>
      <c r="L181" s="10"/>
      <c r="M181" s="10"/>
      <c r="N181" s="10"/>
      <c r="O181" s="10"/>
      <c r="P181" s="11"/>
      <c r="Q181" s="11"/>
      <c r="R181" s="1"/>
      <c r="S181" s="1"/>
      <c r="T181" s="1"/>
      <c r="U181" s="1"/>
      <c r="V181" s="1"/>
      <c r="W181" s="1"/>
      <c r="X181" s="1"/>
      <c r="Y181" s="1"/>
    </row>
    <row r="182" spans="1:25" ht="16" x14ac:dyDescent="0.2">
      <c r="A182" s="6"/>
      <c r="B182" s="10"/>
      <c r="C182" s="10"/>
      <c r="D182" s="10"/>
      <c r="E182" s="10"/>
      <c r="F182" s="10"/>
      <c r="G182" s="10"/>
      <c r="H182" s="10"/>
      <c r="I182" s="10"/>
      <c r="J182" s="10"/>
      <c r="K182" s="10"/>
      <c r="L182" s="10"/>
      <c r="M182" s="10"/>
      <c r="N182" s="10"/>
      <c r="O182" s="10"/>
      <c r="P182" s="11"/>
      <c r="Q182" s="11"/>
      <c r="R182" s="1"/>
      <c r="S182" s="1"/>
      <c r="T182" s="1"/>
      <c r="U182" s="1"/>
      <c r="V182" s="1"/>
      <c r="W182" s="1"/>
      <c r="X182" s="1"/>
      <c r="Y182" s="1"/>
    </row>
    <row r="183" spans="1:25" ht="16" x14ac:dyDescent="0.2">
      <c r="A183" s="6" t="s">
        <v>595</v>
      </c>
      <c r="B183" s="10"/>
      <c r="C183" s="10"/>
      <c r="D183" s="10"/>
      <c r="E183" s="10"/>
      <c r="F183" s="10"/>
      <c r="G183" s="10"/>
      <c r="H183" s="10"/>
      <c r="I183" s="10"/>
      <c r="J183" s="10"/>
      <c r="K183" s="10"/>
      <c r="L183" s="10"/>
      <c r="M183" s="10"/>
      <c r="N183" s="10"/>
      <c r="O183" s="10"/>
      <c r="P183" s="11"/>
      <c r="Q183" s="11"/>
      <c r="R183" s="1"/>
      <c r="S183" s="1"/>
      <c r="T183" s="1"/>
      <c r="U183" s="1"/>
      <c r="V183" s="1"/>
      <c r="W183" s="1"/>
      <c r="X183" s="1"/>
      <c r="Y183" s="1"/>
    </row>
    <row r="184" spans="1:25" ht="16" x14ac:dyDescent="0.2">
      <c r="A184" s="6"/>
      <c r="B184" s="10"/>
      <c r="C184" s="10"/>
      <c r="D184" s="10"/>
      <c r="E184" s="10"/>
      <c r="F184" s="10"/>
      <c r="G184" s="10"/>
      <c r="H184" s="10"/>
      <c r="I184" s="10"/>
      <c r="J184" s="10"/>
      <c r="K184" s="10"/>
      <c r="L184" s="10"/>
      <c r="M184" s="10"/>
      <c r="N184" s="10"/>
      <c r="O184" s="10"/>
      <c r="P184" s="11"/>
      <c r="Q184" s="11"/>
      <c r="R184" s="1"/>
      <c r="S184" s="1"/>
      <c r="T184" s="1"/>
      <c r="U184" s="1"/>
      <c r="V184" s="1"/>
      <c r="W184" s="1"/>
      <c r="X184" s="1"/>
      <c r="Y184" s="1"/>
    </row>
    <row r="185" spans="1:25" ht="16" x14ac:dyDescent="0.2">
      <c r="A185" s="6" t="s">
        <v>596</v>
      </c>
      <c r="B185" s="10"/>
      <c r="C185" s="10"/>
      <c r="D185" s="10"/>
      <c r="E185" s="10"/>
      <c r="F185" s="10"/>
      <c r="G185" s="10"/>
      <c r="H185" s="10"/>
      <c r="I185" s="10"/>
      <c r="J185" s="10"/>
      <c r="K185" s="10"/>
      <c r="L185" s="10"/>
      <c r="M185" s="10"/>
      <c r="N185" s="10"/>
      <c r="O185" s="10"/>
      <c r="P185" s="11"/>
      <c r="Q185" s="11"/>
      <c r="R185" s="1"/>
      <c r="S185" s="1"/>
      <c r="T185" s="1"/>
      <c r="U185" s="1"/>
      <c r="V185" s="1"/>
      <c r="W185" s="1"/>
      <c r="X185" s="1"/>
      <c r="Y185" s="1"/>
    </row>
    <row r="186" spans="1:25" ht="16" x14ac:dyDescent="0.2">
      <c r="A186" s="6"/>
      <c r="B186" s="10"/>
      <c r="C186" s="10"/>
      <c r="D186" s="10"/>
      <c r="E186" s="10"/>
      <c r="F186" s="10"/>
      <c r="G186" s="10"/>
      <c r="H186" s="10"/>
      <c r="I186" s="10"/>
      <c r="J186" s="10"/>
      <c r="K186" s="10"/>
      <c r="L186" s="10"/>
      <c r="M186" s="10"/>
      <c r="N186" s="10"/>
      <c r="O186" s="10"/>
      <c r="P186" s="11"/>
      <c r="Q186" s="11"/>
      <c r="R186" s="1"/>
      <c r="S186" s="1"/>
      <c r="T186" s="1"/>
      <c r="U186" s="1"/>
      <c r="V186" s="1"/>
      <c r="W186" s="1"/>
      <c r="X186" s="1"/>
      <c r="Y186" s="1"/>
    </row>
    <row r="187" spans="1:25" ht="16" x14ac:dyDescent="0.2">
      <c r="A187" s="6" t="s">
        <v>597</v>
      </c>
      <c r="B187" s="10"/>
      <c r="C187" s="10"/>
      <c r="D187" s="10"/>
      <c r="E187" s="10"/>
      <c r="F187" s="10"/>
      <c r="G187" s="10"/>
      <c r="H187" s="10"/>
      <c r="I187" s="10"/>
      <c r="J187" s="10"/>
      <c r="K187" s="10"/>
      <c r="L187" s="10"/>
      <c r="M187" s="10"/>
      <c r="N187" s="10"/>
      <c r="O187" s="10"/>
      <c r="P187" s="11"/>
      <c r="Q187" s="11"/>
      <c r="R187" s="1"/>
      <c r="S187" s="1"/>
      <c r="T187" s="1"/>
      <c r="U187" s="1"/>
      <c r="V187" s="1"/>
      <c r="W187" s="1"/>
      <c r="X187" s="1"/>
      <c r="Y187" s="1"/>
    </row>
    <row r="188" spans="1:25" ht="16" x14ac:dyDescent="0.2">
      <c r="A188" s="6"/>
      <c r="B188" s="10"/>
      <c r="C188" s="10"/>
      <c r="D188" s="10"/>
      <c r="E188" s="10"/>
      <c r="F188" s="10"/>
      <c r="G188" s="10"/>
      <c r="H188" s="10"/>
      <c r="I188" s="10"/>
      <c r="J188" s="10"/>
      <c r="K188" s="10"/>
      <c r="L188" s="10"/>
      <c r="M188" s="10"/>
      <c r="N188" s="10"/>
      <c r="O188" s="10"/>
      <c r="P188" s="11"/>
      <c r="Q188" s="11"/>
      <c r="R188" s="1"/>
      <c r="S188" s="1"/>
      <c r="T188" s="1"/>
      <c r="U188" s="1"/>
      <c r="V188" s="1"/>
      <c r="W188" s="1"/>
      <c r="X188" s="1"/>
      <c r="Y188" s="1"/>
    </row>
    <row r="189" spans="1:25" ht="16" x14ac:dyDescent="0.2">
      <c r="A189" s="6" t="s">
        <v>598</v>
      </c>
      <c r="B189" s="10"/>
      <c r="C189" s="10"/>
      <c r="D189" s="10"/>
      <c r="E189" s="10"/>
      <c r="F189" s="10"/>
      <c r="G189" s="10"/>
      <c r="H189" s="10"/>
      <c r="I189" s="10"/>
      <c r="J189" s="10"/>
      <c r="K189" s="10"/>
      <c r="L189" s="10"/>
      <c r="M189" s="10"/>
      <c r="N189" s="10"/>
      <c r="O189" s="10"/>
      <c r="P189" s="11"/>
      <c r="Q189" s="11"/>
      <c r="R189" s="1"/>
      <c r="S189" s="1"/>
      <c r="T189" s="1"/>
      <c r="U189" s="1"/>
      <c r="V189" s="1"/>
      <c r="W189" s="1"/>
      <c r="X189" s="1"/>
      <c r="Y189" s="1"/>
    </row>
    <row r="190" spans="1:25" ht="16" x14ac:dyDescent="0.2">
      <c r="A190" s="6"/>
      <c r="B190" s="10"/>
      <c r="C190" s="10"/>
      <c r="D190" s="10"/>
      <c r="E190" s="10"/>
      <c r="F190" s="10"/>
      <c r="G190" s="10"/>
      <c r="H190" s="10"/>
      <c r="I190" s="10"/>
      <c r="J190" s="10"/>
      <c r="K190" s="10"/>
      <c r="L190" s="10"/>
      <c r="M190" s="10"/>
      <c r="N190" s="10"/>
      <c r="O190" s="10"/>
      <c r="P190" s="11"/>
      <c r="Q190" s="11"/>
      <c r="R190" s="1"/>
      <c r="S190" s="1"/>
      <c r="T190" s="1"/>
      <c r="U190" s="1"/>
      <c r="V190" s="1"/>
      <c r="W190" s="1"/>
      <c r="X190" s="1"/>
      <c r="Y190" s="1"/>
    </row>
    <row r="191" spans="1:25" ht="16" x14ac:dyDescent="0.2">
      <c r="A191" s="6" t="s">
        <v>599</v>
      </c>
      <c r="B191" s="10"/>
      <c r="C191" s="10"/>
      <c r="D191" s="10"/>
      <c r="E191" s="10"/>
      <c r="F191" s="10"/>
      <c r="G191" s="10"/>
      <c r="H191" s="10"/>
      <c r="I191" s="10"/>
      <c r="J191" s="10"/>
      <c r="K191" s="10"/>
      <c r="L191" s="10"/>
      <c r="M191" s="10"/>
      <c r="N191" s="10"/>
      <c r="O191" s="10"/>
      <c r="P191" s="11"/>
      <c r="Q191" s="11"/>
      <c r="R191" s="1"/>
      <c r="S191" s="1"/>
      <c r="T191" s="1"/>
      <c r="U191" s="1"/>
      <c r="V191" s="1"/>
      <c r="W191" s="1"/>
      <c r="X191" s="1"/>
      <c r="Y191" s="1"/>
    </row>
    <row r="192" spans="1:25" ht="16" x14ac:dyDescent="0.2">
      <c r="A192" s="6"/>
      <c r="B192" s="10"/>
      <c r="C192" s="10"/>
      <c r="D192" s="10"/>
      <c r="E192" s="10"/>
      <c r="F192" s="10"/>
      <c r="G192" s="10"/>
      <c r="H192" s="10"/>
      <c r="I192" s="10"/>
      <c r="J192" s="10"/>
      <c r="K192" s="10"/>
      <c r="L192" s="10"/>
      <c r="M192" s="10"/>
      <c r="N192" s="10"/>
      <c r="O192" s="10"/>
      <c r="P192" s="11"/>
      <c r="Q192" s="11"/>
      <c r="R192" s="1"/>
      <c r="S192" s="1"/>
      <c r="T192" s="1"/>
      <c r="U192" s="1"/>
      <c r="V192" s="1"/>
      <c r="W192" s="1"/>
      <c r="X192" s="1"/>
      <c r="Y192" s="1"/>
    </row>
    <row r="193" spans="1:25" ht="16" x14ac:dyDescent="0.2">
      <c r="A193" s="6" t="s">
        <v>600</v>
      </c>
      <c r="B193" s="10"/>
      <c r="C193" s="10"/>
      <c r="D193" s="10"/>
      <c r="E193" s="10"/>
      <c r="F193" s="10"/>
      <c r="G193" s="10"/>
      <c r="H193" s="10"/>
      <c r="I193" s="10"/>
      <c r="J193" s="10"/>
      <c r="K193" s="10"/>
      <c r="L193" s="10"/>
      <c r="M193" s="10"/>
      <c r="N193" s="10"/>
      <c r="O193" s="10"/>
      <c r="P193" s="11"/>
      <c r="Q193" s="11"/>
      <c r="R193" s="1"/>
      <c r="S193" s="1"/>
      <c r="T193" s="1"/>
      <c r="U193" s="1"/>
      <c r="V193" s="1"/>
      <c r="W193" s="1"/>
      <c r="X193" s="1"/>
      <c r="Y193" s="1"/>
    </row>
    <row r="194" spans="1:25" ht="16" x14ac:dyDescent="0.2">
      <c r="A194" s="6"/>
      <c r="B194" s="10"/>
      <c r="C194" s="10"/>
      <c r="D194" s="10"/>
      <c r="E194" s="10"/>
      <c r="F194" s="10"/>
      <c r="G194" s="10"/>
      <c r="H194" s="10"/>
      <c r="I194" s="10"/>
      <c r="J194" s="10"/>
      <c r="K194" s="10"/>
      <c r="L194" s="10"/>
      <c r="M194" s="10"/>
      <c r="N194" s="10"/>
      <c r="O194" s="10"/>
      <c r="P194" s="11"/>
      <c r="Q194" s="11"/>
      <c r="R194" s="1"/>
      <c r="S194" s="1"/>
      <c r="T194" s="1"/>
      <c r="U194" s="1"/>
      <c r="V194" s="1"/>
      <c r="W194" s="1"/>
      <c r="X194" s="1"/>
      <c r="Y194" s="1"/>
    </row>
    <row r="195" spans="1:25" ht="16" x14ac:dyDescent="0.2">
      <c r="A195" s="6" t="s">
        <v>601</v>
      </c>
      <c r="B195" s="10"/>
      <c r="C195" s="10"/>
      <c r="D195" s="10"/>
      <c r="E195" s="10"/>
      <c r="F195" s="10"/>
      <c r="G195" s="10"/>
      <c r="H195" s="10"/>
      <c r="I195" s="10"/>
      <c r="J195" s="10"/>
      <c r="K195" s="10"/>
      <c r="L195" s="10"/>
      <c r="M195" s="10"/>
      <c r="N195" s="10"/>
      <c r="O195" s="10"/>
      <c r="P195" s="11"/>
      <c r="Q195" s="11"/>
      <c r="R195" s="1"/>
      <c r="S195" s="1"/>
      <c r="T195" s="1"/>
      <c r="U195" s="1"/>
      <c r="V195" s="1"/>
      <c r="W195" s="1"/>
      <c r="X195" s="1"/>
      <c r="Y195" s="1"/>
    </row>
    <row r="196" spans="1:25" ht="16" x14ac:dyDescent="0.2">
      <c r="A196" s="6"/>
      <c r="B196" s="10"/>
      <c r="C196" s="10"/>
      <c r="D196" s="10"/>
      <c r="E196" s="10"/>
      <c r="F196" s="10"/>
      <c r="G196" s="10"/>
      <c r="H196" s="10"/>
      <c r="I196" s="10"/>
      <c r="J196" s="10"/>
      <c r="K196" s="10"/>
      <c r="L196" s="10"/>
      <c r="M196" s="10"/>
      <c r="N196" s="10"/>
      <c r="O196" s="10"/>
      <c r="P196" s="11"/>
      <c r="Q196" s="11"/>
      <c r="R196" s="1"/>
      <c r="S196" s="1"/>
      <c r="T196" s="1"/>
      <c r="U196" s="1"/>
      <c r="V196" s="1"/>
      <c r="W196" s="1"/>
      <c r="X196" s="1"/>
      <c r="Y196" s="1"/>
    </row>
    <row r="197" spans="1:25" ht="16" x14ac:dyDescent="0.2">
      <c r="A197" s="6" t="s">
        <v>602</v>
      </c>
      <c r="B197" s="10"/>
      <c r="C197" s="10"/>
      <c r="D197" s="10"/>
      <c r="E197" s="10"/>
      <c r="F197" s="10"/>
      <c r="G197" s="10"/>
      <c r="H197" s="10"/>
      <c r="I197" s="10"/>
      <c r="J197" s="10"/>
      <c r="K197" s="10"/>
      <c r="L197" s="10"/>
      <c r="M197" s="10"/>
      <c r="N197" s="10"/>
      <c r="O197" s="10"/>
      <c r="P197" s="11"/>
      <c r="Q197" s="11"/>
      <c r="R197" s="1"/>
      <c r="S197" s="1"/>
      <c r="T197" s="1"/>
      <c r="U197" s="1"/>
      <c r="V197" s="1"/>
      <c r="W197" s="1"/>
      <c r="X197" s="1"/>
      <c r="Y197" s="1"/>
    </row>
    <row r="198" spans="1:25" ht="16" x14ac:dyDescent="0.2">
      <c r="A198" s="6"/>
      <c r="B198" s="10"/>
      <c r="C198" s="10"/>
      <c r="D198" s="10"/>
      <c r="E198" s="10"/>
      <c r="F198" s="10"/>
      <c r="G198" s="10"/>
      <c r="H198" s="10"/>
      <c r="I198" s="10"/>
      <c r="J198" s="10"/>
      <c r="K198" s="10"/>
      <c r="L198" s="10"/>
      <c r="M198" s="10"/>
      <c r="N198" s="10"/>
      <c r="O198" s="10"/>
      <c r="P198" s="11"/>
      <c r="Q198" s="11"/>
      <c r="R198" s="1"/>
      <c r="S198" s="1"/>
      <c r="T198" s="1"/>
      <c r="U198" s="1"/>
      <c r="V198" s="1"/>
      <c r="W198" s="1"/>
      <c r="X198" s="1"/>
      <c r="Y198" s="1"/>
    </row>
    <row r="199" spans="1:25" ht="16" x14ac:dyDescent="0.2">
      <c r="A199" s="6" t="s">
        <v>603</v>
      </c>
      <c r="B199" s="10"/>
      <c r="C199" s="10"/>
      <c r="D199" s="10"/>
      <c r="E199" s="10"/>
      <c r="F199" s="10"/>
      <c r="G199" s="10"/>
      <c r="H199" s="10"/>
      <c r="I199" s="10"/>
      <c r="J199" s="10"/>
      <c r="K199" s="10"/>
      <c r="L199" s="10"/>
      <c r="M199" s="10"/>
      <c r="N199" s="10"/>
      <c r="O199" s="10"/>
      <c r="P199" s="11"/>
      <c r="Q199" s="11"/>
      <c r="R199" s="1"/>
      <c r="S199" s="1"/>
      <c r="T199" s="1"/>
      <c r="U199" s="1"/>
      <c r="V199" s="1"/>
      <c r="W199" s="1"/>
      <c r="X199" s="1"/>
      <c r="Y199" s="1"/>
    </row>
    <row r="200" spans="1:25" ht="16" x14ac:dyDescent="0.2">
      <c r="A200" s="6"/>
      <c r="B200" s="10"/>
      <c r="C200" s="10"/>
      <c r="D200" s="10"/>
      <c r="E200" s="10"/>
      <c r="F200" s="10"/>
      <c r="G200" s="10"/>
      <c r="H200" s="10"/>
      <c r="I200" s="10"/>
      <c r="J200" s="10"/>
      <c r="K200" s="10"/>
      <c r="L200" s="10"/>
      <c r="M200" s="10"/>
      <c r="N200" s="10"/>
      <c r="O200" s="10"/>
      <c r="P200" s="11"/>
      <c r="Q200" s="11"/>
      <c r="R200" s="1"/>
      <c r="S200" s="1"/>
      <c r="T200" s="1"/>
      <c r="U200" s="1"/>
      <c r="V200" s="1"/>
      <c r="W200" s="1"/>
      <c r="X200" s="1"/>
      <c r="Y200" s="1"/>
    </row>
    <row r="201" spans="1:25" ht="16" x14ac:dyDescent="0.2">
      <c r="A201" s="6" t="s">
        <v>604</v>
      </c>
      <c r="B201" s="10"/>
      <c r="C201" s="10"/>
      <c r="D201" s="10"/>
      <c r="E201" s="10"/>
      <c r="F201" s="10"/>
      <c r="G201" s="10"/>
      <c r="H201" s="10"/>
      <c r="I201" s="10"/>
      <c r="J201" s="10"/>
      <c r="K201" s="10"/>
      <c r="L201" s="10"/>
      <c r="M201" s="10"/>
      <c r="N201" s="10"/>
      <c r="O201" s="10"/>
      <c r="P201" s="11"/>
      <c r="Q201" s="11"/>
      <c r="R201" s="1"/>
      <c r="S201" s="1"/>
      <c r="T201" s="1"/>
      <c r="U201" s="1"/>
      <c r="V201" s="1"/>
      <c r="W201" s="1"/>
      <c r="X201" s="1"/>
      <c r="Y201" s="1"/>
    </row>
    <row r="202" spans="1:25" ht="16" x14ac:dyDescent="0.2">
      <c r="A202" s="6"/>
      <c r="B202" s="10"/>
      <c r="C202" s="10"/>
      <c r="D202" s="10"/>
      <c r="E202" s="10"/>
      <c r="F202" s="10"/>
      <c r="G202" s="10"/>
      <c r="H202" s="10"/>
      <c r="I202" s="10"/>
      <c r="J202" s="10"/>
      <c r="K202" s="10"/>
      <c r="L202" s="10"/>
      <c r="M202" s="10"/>
      <c r="N202" s="10"/>
      <c r="O202" s="10"/>
      <c r="P202" s="11"/>
      <c r="Q202" s="11"/>
      <c r="R202" s="1"/>
      <c r="S202" s="1"/>
      <c r="T202" s="1"/>
      <c r="U202" s="1"/>
      <c r="V202" s="1"/>
      <c r="W202" s="1"/>
      <c r="X202" s="1"/>
      <c r="Y202" s="1"/>
    </row>
    <row r="203" spans="1:25" ht="16" x14ac:dyDescent="0.2">
      <c r="A203" s="6" t="s">
        <v>605</v>
      </c>
      <c r="B203" s="10"/>
      <c r="C203" s="10"/>
      <c r="D203" s="10"/>
      <c r="E203" s="10"/>
      <c r="F203" s="10"/>
      <c r="G203" s="10"/>
      <c r="H203" s="10"/>
      <c r="I203" s="10"/>
      <c r="J203" s="10"/>
      <c r="K203" s="10"/>
      <c r="L203" s="10"/>
      <c r="M203" s="10"/>
      <c r="N203" s="10"/>
      <c r="O203" s="10"/>
      <c r="P203" s="11"/>
      <c r="Q203" s="11"/>
      <c r="R203" s="1"/>
      <c r="S203" s="1"/>
      <c r="T203" s="1"/>
      <c r="U203" s="1"/>
      <c r="V203" s="1"/>
      <c r="W203" s="1"/>
      <c r="X203" s="1"/>
      <c r="Y203" s="1"/>
    </row>
    <row r="204" spans="1:25" ht="16" x14ac:dyDescent="0.2">
      <c r="A204" s="6"/>
      <c r="B204" s="10"/>
      <c r="C204" s="10"/>
      <c r="D204" s="10"/>
      <c r="E204" s="10"/>
      <c r="F204" s="10"/>
      <c r="G204" s="10"/>
      <c r="H204" s="10"/>
      <c r="I204" s="10"/>
      <c r="J204" s="10"/>
      <c r="K204" s="10"/>
      <c r="L204" s="10"/>
      <c r="M204" s="10"/>
      <c r="N204" s="10"/>
      <c r="O204" s="10"/>
      <c r="P204" s="11"/>
      <c r="Q204" s="11"/>
      <c r="R204" s="1"/>
      <c r="S204" s="1"/>
      <c r="T204" s="1"/>
      <c r="U204" s="1"/>
      <c r="V204" s="1"/>
      <c r="W204" s="1"/>
      <c r="X204" s="1"/>
      <c r="Y204" s="1"/>
    </row>
    <row r="205" spans="1:25" ht="16" x14ac:dyDescent="0.2">
      <c r="A205" s="6" t="s">
        <v>606</v>
      </c>
      <c r="B205" s="10"/>
      <c r="C205" s="10"/>
      <c r="D205" s="10"/>
      <c r="E205" s="10"/>
      <c r="F205" s="10"/>
      <c r="G205" s="10"/>
      <c r="H205" s="10"/>
      <c r="I205" s="10"/>
      <c r="J205" s="10"/>
      <c r="K205" s="10"/>
      <c r="L205" s="10"/>
      <c r="M205" s="10"/>
      <c r="N205" s="10"/>
      <c r="O205" s="10"/>
      <c r="P205" s="11"/>
      <c r="Q205" s="11"/>
      <c r="R205" s="1"/>
      <c r="S205" s="1"/>
      <c r="T205" s="1"/>
      <c r="U205" s="1"/>
      <c r="V205" s="1"/>
      <c r="W205" s="1"/>
      <c r="X205" s="1"/>
      <c r="Y205" s="1"/>
    </row>
    <row r="206" spans="1:25" ht="16" x14ac:dyDescent="0.2">
      <c r="A206" s="6"/>
      <c r="B206" s="10"/>
      <c r="C206" s="10"/>
      <c r="D206" s="10"/>
      <c r="E206" s="10"/>
      <c r="F206" s="10"/>
      <c r="G206" s="10"/>
      <c r="H206" s="10"/>
      <c r="I206" s="10"/>
      <c r="J206" s="10"/>
      <c r="K206" s="10"/>
      <c r="L206" s="10"/>
      <c r="M206" s="10"/>
      <c r="N206" s="10"/>
      <c r="O206" s="10"/>
      <c r="P206" s="11"/>
      <c r="Q206" s="11"/>
      <c r="R206" s="1"/>
      <c r="S206" s="1"/>
      <c r="T206" s="1"/>
      <c r="U206" s="1"/>
      <c r="V206" s="1"/>
      <c r="W206" s="1"/>
      <c r="X206" s="1"/>
      <c r="Y206" s="1"/>
    </row>
    <row r="207" spans="1:25" ht="16" x14ac:dyDescent="0.2">
      <c r="A207" s="6" t="s">
        <v>607</v>
      </c>
      <c r="B207" s="10"/>
      <c r="C207" s="10"/>
      <c r="D207" s="10"/>
      <c r="E207" s="10"/>
      <c r="F207" s="10"/>
      <c r="G207" s="10"/>
      <c r="H207" s="10"/>
      <c r="I207" s="10"/>
      <c r="J207" s="10"/>
      <c r="K207" s="10"/>
      <c r="L207" s="10"/>
      <c r="M207" s="10"/>
      <c r="N207" s="10"/>
      <c r="O207" s="10"/>
      <c r="P207" s="11"/>
      <c r="Q207" s="11"/>
      <c r="R207" s="1"/>
      <c r="S207" s="1"/>
      <c r="T207" s="1"/>
      <c r="U207" s="1"/>
      <c r="V207" s="1"/>
      <c r="W207" s="1"/>
      <c r="X207" s="1"/>
      <c r="Y207" s="1"/>
    </row>
    <row r="208" spans="1:25" ht="16" x14ac:dyDescent="0.2">
      <c r="A208" s="6"/>
      <c r="B208" s="10"/>
      <c r="C208" s="10"/>
      <c r="D208" s="10"/>
      <c r="E208" s="10"/>
      <c r="F208" s="10"/>
      <c r="G208" s="10"/>
      <c r="H208" s="10"/>
      <c r="I208" s="10"/>
      <c r="J208" s="10"/>
      <c r="K208" s="10"/>
      <c r="L208" s="10"/>
      <c r="M208" s="10"/>
      <c r="N208" s="10"/>
      <c r="O208" s="10"/>
      <c r="P208" s="11"/>
      <c r="Q208" s="11"/>
      <c r="R208" s="1"/>
      <c r="S208" s="1"/>
      <c r="T208" s="1"/>
      <c r="U208" s="1"/>
      <c r="V208" s="1"/>
      <c r="W208" s="1"/>
      <c r="X208" s="1"/>
      <c r="Y208" s="1"/>
    </row>
    <row r="209" spans="1:25" ht="16" x14ac:dyDescent="0.2">
      <c r="A209" s="6" t="s">
        <v>608</v>
      </c>
      <c r="B209" s="10"/>
      <c r="C209" s="10"/>
      <c r="D209" s="10"/>
      <c r="E209" s="10"/>
      <c r="F209" s="10"/>
      <c r="G209" s="10"/>
      <c r="H209" s="10"/>
      <c r="I209" s="10"/>
      <c r="J209" s="10"/>
      <c r="K209" s="10"/>
      <c r="L209" s="10"/>
      <c r="M209" s="10"/>
      <c r="N209" s="10"/>
      <c r="O209" s="10"/>
      <c r="P209" s="11"/>
      <c r="Q209" s="11"/>
      <c r="R209" s="1"/>
      <c r="S209" s="1"/>
      <c r="T209" s="1"/>
      <c r="U209" s="1"/>
      <c r="V209" s="1"/>
      <c r="W209" s="1"/>
      <c r="X209" s="1"/>
      <c r="Y209" s="1"/>
    </row>
    <row r="210" spans="1:25" ht="16" x14ac:dyDescent="0.2">
      <c r="A210" s="6"/>
      <c r="B210" s="10"/>
      <c r="C210" s="10"/>
      <c r="D210" s="10"/>
      <c r="E210" s="10"/>
      <c r="F210" s="10"/>
      <c r="G210" s="10"/>
      <c r="H210" s="10"/>
      <c r="I210" s="10"/>
      <c r="J210" s="10"/>
      <c r="K210" s="10"/>
      <c r="L210" s="10"/>
      <c r="M210" s="10"/>
      <c r="N210" s="10"/>
      <c r="O210" s="10"/>
      <c r="P210" s="11"/>
      <c r="Q210" s="11"/>
      <c r="R210" s="1"/>
      <c r="S210" s="1"/>
      <c r="T210" s="1"/>
      <c r="U210" s="1"/>
      <c r="V210" s="1"/>
      <c r="W210" s="1"/>
      <c r="X210" s="1"/>
      <c r="Y210" s="1"/>
    </row>
    <row r="211" spans="1:25" ht="16" x14ac:dyDescent="0.2">
      <c r="A211" s="6" t="s">
        <v>609</v>
      </c>
      <c r="B211" s="10"/>
      <c r="C211" s="10"/>
      <c r="D211" s="10"/>
      <c r="E211" s="10"/>
      <c r="F211" s="10"/>
      <c r="G211" s="10"/>
      <c r="H211" s="10"/>
      <c r="I211" s="10"/>
      <c r="J211" s="10"/>
      <c r="K211" s="10"/>
      <c r="L211" s="10"/>
      <c r="M211" s="10"/>
      <c r="N211" s="10"/>
      <c r="O211" s="10"/>
      <c r="P211" s="11"/>
      <c r="Q211" s="11"/>
      <c r="R211" s="1"/>
      <c r="S211" s="1"/>
      <c r="T211" s="1"/>
      <c r="U211" s="1"/>
      <c r="V211" s="1"/>
      <c r="W211" s="1"/>
      <c r="X211" s="1"/>
      <c r="Y211" s="1"/>
    </row>
    <row r="212" spans="1:25" ht="16" x14ac:dyDescent="0.2">
      <c r="A212" s="6"/>
      <c r="B212" s="10"/>
      <c r="C212" s="10"/>
      <c r="D212" s="10"/>
      <c r="E212" s="10"/>
      <c r="F212" s="10"/>
      <c r="G212" s="10"/>
      <c r="H212" s="10"/>
      <c r="I212" s="10"/>
      <c r="J212" s="10"/>
      <c r="K212" s="10"/>
      <c r="L212" s="10"/>
      <c r="M212" s="10"/>
      <c r="N212" s="10"/>
      <c r="O212" s="10"/>
      <c r="P212" s="11"/>
      <c r="Q212" s="11"/>
      <c r="R212" s="1"/>
      <c r="S212" s="1"/>
      <c r="T212" s="1"/>
      <c r="U212" s="1"/>
      <c r="V212" s="1"/>
      <c r="W212" s="1"/>
      <c r="X212" s="1"/>
      <c r="Y212" s="1"/>
    </row>
    <row r="213" spans="1:25" ht="16" x14ac:dyDescent="0.2">
      <c r="A213" s="6" t="s">
        <v>610</v>
      </c>
      <c r="B213" s="10"/>
      <c r="C213" s="10"/>
      <c r="D213" s="10"/>
      <c r="E213" s="10"/>
      <c r="F213" s="10"/>
      <c r="G213" s="10"/>
      <c r="H213" s="10"/>
      <c r="I213" s="10"/>
      <c r="J213" s="10"/>
      <c r="K213" s="10"/>
      <c r="L213" s="10"/>
      <c r="M213" s="10"/>
      <c r="N213" s="10"/>
      <c r="O213" s="10"/>
      <c r="P213" s="11"/>
      <c r="Q213" s="11"/>
      <c r="R213" s="1"/>
      <c r="S213" s="1"/>
      <c r="T213" s="1"/>
      <c r="U213" s="1"/>
      <c r="V213" s="1"/>
      <c r="W213" s="1"/>
      <c r="X213" s="1"/>
      <c r="Y213" s="1"/>
    </row>
    <row r="214" spans="1:25" ht="16" x14ac:dyDescent="0.2">
      <c r="A214" s="6"/>
      <c r="B214" s="10"/>
      <c r="C214" s="10"/>
      <c r="D214" s="10"/>
      <c r="E214" s="10"/>
      <c r="F214" s="10"/>
      <c r="G214" s="10"/>
      <c r="H214" s="10"/>
      <c r="I214" s="10"/>
      <c r="J214" s="10"/>
      <c r="K214" s="10"/>
      <c r="L214" s="10"/>
      <c r="M214" s="10"/>
      <c r="N214" s="10"/>
      <c r="O214" s="10"/>
      <c r="P214" s="11"/>
      <c r="Q214" s="11"/>
      <c r="R214" s="1"/>
      <c r="S214" s="1"/>
      <c r="T214" s="1"/>
      <c r="U214" s="1"/>
      <c r="V214" s="1"/>
      <c r="W214" s="1"/>
      <c r="X214" s="1"/>
      <c r="Y214" s="1"/>
    </row>
    <row r="215" spans="1:25" ht="16" x14ac:dyDescent="0.2">
      <c r="A215" s="6" t="s">
        <v>611</v>
      </c>
      <c r="B215" s="10"/>
      <c r="C215" s="10"/>
      <c r="D215" s="10"/>
      <c r="E215" s="10"/>
      <c r="F215" s="10"/>
      <c r="G215" s="10"/>
      <c r="H215" s="10"/>
      <c r="I215" s="10"/>
      <c r="J215" s="10"/>
      <c r="K215" s="10"/>
      <c r="L215" s="10"/>
      <c r="M215" s="10"/>
      <c r="N215" s="10"/>
      <c r="O215" s="10"/>
      <c r="P215" s="11"/>
      <c r="Q215" s="11"/>
      <c r="R215" s="1"/>
      <c r="S215" s="1"/>
      <c r="T215" s="1"/>
      <c r="U215" s="1"/>
      <c r="V215" s="1"/>
      <c r="W215" s="1"/>
      <c r="X215" s="1"/>
      <c r="Y215" s="1"/>
    </row>
    <row r="216" spans="1:25" ht="16" x14ac:dyDescent="0.2">
      <c r="A216" s="6"/>
      <c r="B216" s="10"/>
      <c r="C216" s="10"/>
      <c r="D216" s="10"/>
      <c r="E216" s="10"/>
      <c r="F216" s="10"/>
      <c r="G216" s="10"/>
      <c r="H216" s="10"/>
      <c r="I216" s="10"/>
      <c r="J216" s="10"/>
      <c r="K216" s="10"/>
      <c r="L216" s="10"/>
      <c r="M216" s="10"/>
      <c r="N216" s="10"/>
      <c r="O216" s="10"/>
      <c r="P216" s="11"/>
      <c r="Q216" s="11"/>
      <c r="R216" s="1"/>
      <c r="S216" s="1"/>
      <c r="T216" s="1"/>
      <c r="U216" s="1"/>
      <c r="V216" s="1"/>
      <c r="W216" s="1"/>
      <c r="X216" s="1"/>
      <c r="Y216" s="1"/>
    </row>
    <row r="217" spans="1:25" ht="16" x14ac:dyDescent="0.2">
      <c r="A217" s="6" t="s">
        <v>612</v>
      </c>
      <c r="B217" s="10"/>
      <c r="C217" s="10"/>
      <c r="D217" s="10"/>
      <c r="E217" s="10"/>
      <c r="F217" s="10"/>
      <c r="G217" s="10"/>
      <c r="H217" s="10"/>
      <c r="I217" s="10"/>
      <c r="J217" s="10"/>
      <c r="K217" s="10"/>
      <c r="L217" s="10"/>
      <c r="M217" s="10"/>
      <c r="N217" s="10"/>
      <c r="O217" s="10"/>
      <c r="P217" s="11"/>
      <c r="Q217" s="11"/>
      <c r="R217" s="1"/>
      <c r="S217" s="1"/>
      <c r="T217" s="1"/>
      <c r="U217" s="1"/>
      <c r="V217" s="1"/>
      <c r="W217" s="1"/>
      <c r="X217" s="1"/>
      <c r="Y217" s="1"/>
    </row>
    <row r="218" spans="1:25" ht="16" x14ac:dyDescent="0.2">
      <c r="A218" s="6"/>
      <c r="B218" s="10"/>
      <c r="C218" s="10"/>
      <c r="D218" s="10"/>
      <c r="E218" s="10"/>
      <c r="F218" s="10"/>
      <c r="G218" s="10"/>
      <c r="H218" s="10"/>
      <c r="I218" s="10"/>
      <c r="J218" s="10"/>
      <c r="K218" s="10"/>
      <c r="L218" s="10"/>
      <c r="M218" s="10"/>
      <c r="N218" s="10"/>
      <c r="O218" s="10"/>
      <c r="P218" s="11"/>
      <c r="Q218" s="11"/>
      <c r="R218" s="1"/>
      <c r="S218" s="1"/>
      <c r="T218" s="1"/>
      <c r="U218" s="1"/>
      <c r="V218" s="1"/>
      <c r="W218" s="1"/>
      <c r="X218" s="1"/>
      <c r="Y218" s="1"/>
    </row>
    <row r="219" spans="1:25" ht="16" x14ac:dyDescent="0.2">
      <c r="A219" s="6" t="s">
        <v>613</v>
      </c>
      <c r="B219" s="10"/>
      <c r="C219" s="10"/>
      <c r="D219" s="10"/>
      <c r="E219" s="10"/>
      <c r="F219" s="10"/>
      <c r="G219" s="10"/>
      <c r="H219" s="10"/>
      <c r="I219" s="10"/>
      <c r="J219" s="10"/>
      <c r="K219" s="10"/>
      <c r="L219" s="10"/>
      <c r="M219" s="10"/>
      <c r="N219" s="10"/>
      <c r="O219" s="10"/>
      <c r="P219" s="11"/>
      <c r="Q219" s="11"/>
      <c r="R219" s="1"/>
      <c r="S219" s="1"/>
      <c r="T219" s="1"/>
      <c r="U219" s="1"/>
      <c r="V219" s="1"/>
      <c r="W219" s="1"/>
      <c r="X219" s="1"/>
      <c r="Y219" s="1"/>
    </row>
    <row r="220" spans="1:25" ht="16" x14ac:dyDescent="0.2">
      <c r="A220" s="6"/>
      <c r="B220" s="10"/>
      <c r="C220" s="10"/>
      <c r="D220" s="10"/>
      <c r="E220" s="10"/>
      <c r="F220" s="10"/>
      <c r="G220" s="10"/>
      <c r="H220" s="10"/>
      <c r="I220" s="10"/>
      <c r="J220" s="10"/>
      <c r="K220" s="10"/>
      <c r="L220" s="10"/>
      <c r="M220" s="10"/>
      <c r="N220" s="10"/>
      <c r="O220" s="10"/>
      <c r="P220" s="11"/>
      <c r="Q220" s="11"/>
      <c r="R220" s="1"/>
      <c r="S220" s="1"/>
      <c r="T220" s="1"/>
      <c r="U220" s="1"/>
      <c r="V220" s="1"/>
      <c r="W220" s="1"/>
      <c r="X220" s="1"/>
      <c r="Y220" s="1"/>
    </row>
    <row r="221" spans="1:25" ht="16" x14ac:dyDescent="0.2">
      <c r="A221" s="6" t="s">
        <v>614</v>
      </c>
      <c r="B221" s="10"/>
      <c r="C221" s="10"/>
      <c r="D221" s="10"/>
      <c r="E221" s="10"/>
      <c r="F221" s="10"/>
      <c r="G221" s="10"/>
      <c r="H221" s="10"/>
      <c r="I221" s="10"/>
      <c r="J221" s="10"/>
      <c r="K221" s="10"/>
      <c r="L221" s="10"/>
      <c r="M221" s="10"/>
      <c r="N221" s="10"/>
      <c r="O221" s="10"/>
      <c r="P221" s="11"/>
      <c r="Q221" s="11"/>
      <c r="R221" s="1"/>
      <c r="S221" s="1"/>
      <c r="T221" s="1"/>
      <c r="U221" s="1"/>
      <c r="V221" s="1"/>
      <c r="W221" s="1"/>
      <c r="X221" s="1"/>
      <c r="Y221" s="1"/>
    </row>
    <row r="222" spans="1:25" ht="16" x14ac:dyDescent="0.2">
      <c r="A222" s="6"/>
      <c r="B222" s="10"/>
      <c r="C222" s="10"/>
      <c r="D222" s="10"/>
      <c r="E222" s="10"/>
      <c r="F222" s="10"/>
      <c r="G222" s="10"/>
      <c r="H222" s="10"/>
      <c r="I222" s="10"/>
      <c r="J222" s="10"/>
      <c r="K222" s="10"/>
      <c r="L222" s="10"/>
      <c r="M222" s="10"/>
      <c r="N222" s="10"/>
      <c r="O222" s="10"/>
      <c r="P222" s="11"/>
      <c r="Q222" s="11"/>
      <c r="R222" s="1"/>
      <c r="S222" s="1"/>
      <c r="T222" s="1"/>
      <c r="U222" s="1"/>
      <c r="V222" s="1"/>
      <c r="W222" s="1"/>
      <c r="X222" s="1"/>
      <c r="Y222" s="1"/>
    </row>
    <row r="223" spans="1:25" ht="16" x14ac:dyDescent="0.2">
      <c r="A223" s="6" t="s">
        <v>615</v>
      </c>
      <c r="B223" s="10"/>
      <c r="C223" s="10"/>
      <c r="D223" s="10"/>
      <c r="E223" s="10"/>
      <c r="F223" s="10"/>
      <c r="G223" s="10"/>
      <c r="H223" s="10"/>
      <c r="I223" s="10"/>
      <c r="J223" s="10"/>
      <c r="K223" s="10"/>
      <c r="L223" s="10"/>
      <c r="M223" s="10"/>
      <c r="N223" s="10"/>
      <c r="O223" s="10"/>
      <c r="P223" s="11"/>
      <c r="Q223" s="11"/>
      <c r="R223" s="1"/>
      <c r="S223" s="1"/>
      <c r="T223" s="1"/>
      <c r="U223" s="1"/>
      <c r="V223" s="1"/>
      <c r="W223" s="1"/>
      <c r="X223" s="1"/>
      <c r="Y223" s="1"/>
    </row>
    <row r="224" spans="1:25" ht="16" x14ac:dyDescent="0.2">
      <c r="A224" s="6"/>
      <c r="B224" s="10"/>
      <c r="C224" s="10"/>
      <c r="D224" s="10"/>
      <c r="E224" s="10"/>
      <c r="F224" s="10"/>
      <c r="G224" s="10"/>
      <c r="H224" s="10"/>
      <c r="I224" s="10"/>
      <c r="J224" s="10"/>
      <c r="K224" s="10"/>
      <c r="L224" s="10"/>
      <c r="M224" s="10"/>
      <c r="N224" s="10"/>
      <c r="O224" s="10"/>
      <c r="P224" s="11"/>
      <c r="Q224" s="11"/>
      <c r="R224" s="1"/>
      <c r="S224" s="1"/>
      <c r="T224" s="1"/>
      <c r="U224" s="1"/>
      <c r="V224" s="1"/>
      <c r="W224" s="1"/>
      <c r="X224" s="1"/>
      <c r="Y224" s="1"/>
    </row>
    <row r="225" spans="1:25" ht="16" x14ac:dyDescent="0.2">
      <c r="A225" s="6" t="s">
        <v>616</v>
      </c>
      <c r="B225" s="10"/>
      <c r="C225" s="10"/>
      <c r="D225" s="10"/>
      <c r="E225" s="10"/>
      <c r="F225" s="10"/>
      <c r="G225" s="10"/>
      <c r="H225" s="10"/>
      <c r="I225" s="10"/>
      <c r="J225" s="10"/>
      <c r="K225" s="10"/>
      <c r="L225" s="10"/>
      <c r="M225" s="10"/>
      <c r="N225" s="10"/>
      <c r="O225" s="10"/>
      <c r="P225" s="11"/>
      <c r="Q225" s="11"/>
      <c r="R225" s="1"/>
      <c r="S225" s="1"/>
      <c r="T225" s="1"/>
      <c r="U225" s="1"/>
      <c r="V225" s="1"/>
      <c r="W225" s="1"/>
      <c r="X225" s="1"/>
      <c r="Y225" s="1"/>
    </row>
    <row r="226" spans="1:25" ht="16" x14ac:dyDescent="0.2">
      <c r="A226" s="6"/>
      <c r="B226" s="10"/>
      <c r="C226" s="10"/>
      <c r="D226" s="10"/>
      <c r="E226" s="10"/>
      <c r="F226" s="10"/>
      <c r="G226" s="10"/>
      <c r="H226" s="10"/>
      <c r="I226" s="10"/>
      <c r="J226" s="10"/>
      <c r="K226" s="10"/>
      <c r="L226" s="10"/>
      <c r="M226" s="10"/>
      <c r="N226" s="10"/>
      <c r="O226" s="10"/>
      <c r="P226" s="11"/>
      <c r="Q226" s="11"/>
      <c r="R226" s="1"/>
      <c r="S226" s="1"/>
      <c r="T226" s="1"/>
      <c r="U226" s="1"/>
      <c r="V226" s="1"/>
      <c r="W226" s="1"/>
      <c r="X226" s="1"/>
      <c r="Y226" s="1"/>
    </row>
    <row r="227" spans="1:25" ht="16" x14ac:dyDescent="0.2">
      <c r="A227" s="6" t="s">
        <v>617</v>
      </c>
      <c r="B227" s="10"/>
      <c r="C227" s="10"/>
      <c r="D227" s="10"/>
      <c r="E227" s="10"/>
      <c r="F227" s="10"/>
      <c r="G227" s="10"/>
      <c r="H227" s="10"/>
      <c r="I227" s="10"/>
      <c r="J227" s="10"/>
      <c r="K227" s="10"/>
      <c r="L227" s="10"/>
      <c r="M227" s="10"/>
      <c r="N227" s="10"/>
      <c r="O227" s="10"/>
      <c r="P227" s="11"/>
      <c r="Q227" s="11"/>
      <c r="R227" s="1"/>
      <c r="S227" s="1"/>
      <c r="T227" s="1"/>
      <c r="U227" s="1"/>
      <c r="V227" s="1"/>
      <c r="W227" s="1"/>
      <c r="X227" s="1"/>
      <c r="Y227" s="1"/>
    </row>
    <row r="228" spans="1:25" ht="16" x14ac:dyDescent="0.2">
      <c r="A228" s="6"/>
      <c r="B228" s="10"/>
      <c r="C228" s="10"/>
      <c r="D228" s="10"/>
      <c r="E228" s="10"/>
      <c r="F228" s="10"/>
      <c r="G228" s="10"/>
      <c r="H228" s="10"/>
      <c r="I228" s="10"/>
      <c r="J228" s="10"/>
      <c r="K228" s="10"/>
      <c r="L228" s="10"/>
      <c r="M228" s="10"/>
      <c r="N228" s="10"/>
      <c r="O228" s="10"/>
      <c r="P228" s="11"/>
      <c r="Q228" s="11"/>
      <c r="R228" s="1"/>
      <c r="S228" s="1"/>
      <c r="T228" s="1"/>
      <c r="U228" s="1"/>
      <c r="V228" s="1"/>
      <c r="W228" s="1"/>
      <c r="X228" s="1"/>
      <c r="Y228" s="1"/>
    </row>
    <row r="229" spans="1:25" ht="16" x14ac:dyDescent="0.2">
      <c r="A229" s="6" t="s">
        <v>618</v>
      </c>
      <c r="B229" s="10"/>
      <c r="C229" s="10"/>
      <c r="D229" s="10"/>
      <c r="E229" s="10"/>
      <c r="F229" s="10"/>
      <c r="G229" s="10"/>
      <c r="H229" s="10"/>
      <c r="I229" s="10"/>
      <c r="J229" s="10"/>
      <c r="K229" s="10"/>
      <c r="L229" s="10"/>
      <c r="M229" s="10"/>
      <c r="N229" s="10"/>
      <c r="O229" s="10"/>
      <c r="P229" s="11"/>
      <c r="Q229" s="11"/>
      <c r="R229" s="1"/>
      <c r="S229" s="1"/>
      <c r="T229" s="1"/>
      <c r="U229" s="1"/>
      <c r="V229" s="1"/>
      <c r="W229" s="1"/>
      <c r="X229" s="1"/>
      <c r="Y229" s="1"/>
    </row>
    <row r="230" spans="1:25" ht="16" x14ac:dyDescent="0.2">
      <c r="A230" s="6"/>
      <c r="B230" s="10"/>
      <c r="C230" s="10"/>
      <c r="D230" s="10"/>
      <c r="E230" s="10"/>
      <c r="F230" s="10"/>
      <c r="G230" s="10"/>
      <c r="H230" s="10"/>
      <c r="I230" s="10"/>
      <c r="J230" s="10"/>
      <c r="K230" s="10"/>
      <c r="L230" s="10"/>
      <c r="M230" s="10"/>
      <c r="N230" s="10"/>
      <c r="O230" s="10"/>
      <c r="P230" s="11"/>
      <c r="Q230" s="11"/>
      <c r="R230" s="1"/>
      <c r="S230" s="1"/>
      <c r="T230" s="1"/>
      <c r="U230" s="1"/>
      <c r="V230" s="1"/>
      <c r="W230" s="1"/>
      <c r="X230" s="1"/>
      <c r="Y230" s="1"/>
    </row>
    <row r="231" spans="1:25" ht="16" x14ac:dyDescent="0.2">
      <c r="A231" s="6" t="s">
        <v>619</v>
      </c>
      <c r="B231" s="10"/>
      <c r="C231" s="10"/>
      <c r="D231" s="10"/>
      <c r="E231" s="10"/>
      <c r="F231" s="10"/>
      <c r="G231" s="10"/>
      <c r="H231" s="10"/>
      <c r="I231" s="10"/>
      <c r="J231" s="10"/>
      <c r="K231" s="10"/>
      <c r="L231" s="10"/>
      <c r="M231" s="10"/>
      <c r="N231" s="10"/>
      <c r="O231" s="10"/>
      <c r="P231" s="11"/>
      <c r="Q231" s="11"/>
      <c r="R231" s="1"/>
      <c r="S231" s="1"/>
      <c r="T231" s="1"/>
      <c r="U231" s="1"/>
      <c r="V231" s="1"/>
      <c r="W231" s="1"/>
      <c r="X231" s="1"/>
      <c r="Y231" s="1"/>
    </row>
    <row r="232" spans="1:25" ht="16" x14ac:dyDescent="0.2">
      <c r="A232" s="6"/>
      <c r="B232" s="10"/>
      <c r="C232" s="10"/>
      <c r="D232" s="10"/>
      <c r="E232" s="10"/>
      <c r="F232" s="10"/>
      <c r="G232" s="10"/>
      <c r="H232" s="10"/>
      <c r="I232" s="10"/>
      <c r="J232" s="10"/>
      <c r="K232" s="10"/>
      <c r="L232" s="10"/>
      <c r="M232" s="10"/>
      <c r="N232" s="10"/>
      <c r="O232" s="10"/>
      <c r="P232" s="11"/>
      <c r="Q232" s="11"/>
      <c r="R232" s="1"/>
      <c r="S232" s="1"/>
      <c r="T232" s="1"/>
      <c r="U232" s="1"/>
      <c r="V232" s="1"/>
      <c r="W232" s="1"/>
      <c r="X232" s="1"/>
      <c r="Y232" s="1"/>
    </row>
    <row r="233" spans="1:25" ht="16" x14ac:dyDescent="0.2">
      <c r="A233" s="6" t="s">
        <v>620</v>
      </c>
      <c r="B233" s="10"/>
      <c r="C233" s="10"/>
      <c r="D233" s="10"/>
      <c r="E233" s="10"/>
      <c r="F233" s="10"/>
      <c r="G233" s="10"/>
      <c r="H233" s="10"/>
      <c r="I233" s="10"/>
      <c r="J233" s="10"/>
      <c r="K233" s="10"/>
      <c r="L233" s="10"/>
      <c r="M233" s="10"/>
      <c r="N233" s="10"/>
      <c r="O233" s="10"/>
      <c r="P233" s="11"/>
      <c r="Q233" s="11"/>
      <c r="R233" s="1"/>
      <c r="S233" s="1"/>
      <c r="T233" s="1"/>
      <c r="U233" s="1"/>
      <c r="V233" s="1"/>
      <c r="W233" s="1"/>
      <c r="X233" s="1"/>
      <c r="Y233" s="1"/>
    </row>
    <row r="234" spans="1:25" ht="16" x14ac:dyDescent="0.2">
      <c r="A234" s="6"/>
      <c r="B234" s="10"/>
      <c r="C234" s="10"/>
      <c r="D234" s="10"/>
      <c r="E234" s="10"/>
      <c r="F234" s="10"/>
      <c r="G234" s="10"/>
      <c r="H234" s="10"/>
      <c r="I234" s="10"/>
      <c r="J234" s="10"/>
      <c r="K234" s="10"/>
      <c r="L234" s="10"/>
      <c r="M234" s="10"/>
      <c r="N234" s="10"/>
      <c r="O234" s="10"/>
      <c r="P234" s="11"/>
      <c r="Q234" s="11"/>
      <c r="R234" s="1"/>
      <c r="S234" s="1"/>
      <c r="T234" s="1"/>
      <c r="U234" s="1"/>
      <c r="V234" s="1"/>
      <c r="W234" s="1"/>
      <c r="X234" s="1"/>
      <c r="Y234" s="1"/>
    </row>
    <row r="235" spans="1:25" ht="16" x14ac:dyDescent="0.2">
      <c r="A235" s="6" t="s">
        <v>621</v>
      </c>
      <c r="B235" s="10"/>
      <c r="C235" s="10"/>
      <c r="D235" s="10"/>
      <c r="E235" s="10"/>
      <c r="F235" s="10"/>
      <c r="G235" s="10"/>
      <c r="H235" s="10"/>
      <c r="I235" s="10"/>
      <c r="J235" s="10"/>
      <c r="K235" s="10"/>
      <c r="L235" s="10"/>
      <c r="M235" s="10"/>
      <c r="N235" s="10"/>
      <c r="O235" s="10"/>
      <c r="P235" s="11"/>
      <c r="Q235" s="11"/>
      <c r="R235" s="1"/>
      <c r="S235" s="1"/>
      <c r="T235" s="1"/>
      <c r="U235" s="1"/>
      <c r="V235" s="1"/>
      <c r="W235" s="1"/>
      <c r="X235" s="1"/>
      <c r="Y235" s="1"/>
    </row>
    <row r="236" spans="1:25" ht="16" x14ac:dyDescent="0.2">
      <c r="A236" s="6"/>
      <c r="B236" s="10"/>
      <c r="C236" s="10"/>
      <c r="D236" s="10"/>
      <c r="E236" s="10"/>
      <c r="F236" s="10"/>
      <c r="G236" s="10"/>
      <c r="H236" s="10"/>
      <c r="I236" s="10"/>
      <c r="J236" s="10"/>
      <c r="K236" s="10"/>
      <c r="L236" s="10"/>
      <c r="M236" s="10"/>
      <c r="N236" s="10"/>
      <c r="O236" s="10"/>
      <c r="P236" s="11"/>
      <c r="Q236" s="11"/>
      <c r="R236" s="1"/>
      <c r="S236" s="1"/>
      <c r="T236" s="1"/>
      <c r="U236" s="1"/>
      <c r="V236" s="1"/>
      <c r="W236" s="1"/>
      <c r="X236" s="1"/>
      <c r="Y236" s="1"/>
    </row>
    <row r="237" spans="1:25" ht="16" x14ac:dyDescent="0.2">
      <c r="A237" s="6" t="s">
        <v>622</v>
      </c>
      <c r="B237" s="10"/>
      <c r="C237" s="10"/>
      <c r="D237" s="10"/>
      <c r="E237" s="10"/>
      <c r="F237" s="10"/>
      <c r="G237" s="10"/>
      <c r="H237" s="10"/>
      <c r="I237" s="10"/>
      <c r="J237" s="10"/>
      <c r="K237" s="10"/>
      <c r="L237" s="10"/>
      <c r="M237" s="10"/>
      <c r="N237" s="10"/>
      <c r="O237" s="10"/>
      <c r="P237" s="11"/>
      <c r="Q237" s="11"/>
      <c r="R237" s="1"/>
      <c r="S237" s="1"/>
      <c r="T237" s="1"/>
      <c r="U237" s="1"/>
      <c r="V237" s="1"/>
      <c r="W237" s="1"/>
      <c r="X237" s="1"/>
      <c r="Y237" s="1"/>
    </row>
    <row r="238" spans="1:25" ht="16" x14ac:dyDescent="0.2">
      <c r="A238" s="6"/>
      <c r="B238" s="10"/>
      <c r="C238" s="10"/>
      <c r="D238" s="10"/>
      <c r="E238" s="10"/>
      <c r="F238" s="10"/>
      <c r="G238" s="10"/>
      <c r="H238" s="10"/>
      <c r="I238" s="10"/>
      <c r="J238" s="10"/>
      <c r="K238" s="10"/>
      <c r="L238" s="10"/>
      <c r="M238" s="10"/>
      <c r="N238" s="10"/>
      <c r="O238" s="10"/>
      <c r="P238" s="11"/>
      <c r="Q238" s="11"/>
      <c r="R238" s="1"/>
      <c r="S238" s="1"/>
      <c r="T238" s="1"/>
      <c r="U238" s="1"/>
      <c r="V238" s="1"/>
      <c r="W238" s="1"/>
      <c r="X238" s="1"/>
      <c r="Y238" s="1"/>
    </row>
    <row r="239" spans="1:25" ht="16" x14ac:dyDescent="0.2">
      <c r="A239" s="6" t="s">
        <v>623</v>
      </c>
      <c r="B239" s="10"/>
      <c r="C239" s="10"/>
      <c r="D239" s="10"/>
      <c r="E239" s="10"/>
      <c r="F239" s="10"/>
      <c r="G239" s="10"/>
      <c r="H239" s="10"/>
      <c r="I239" s="10"/>
      <c r="J239" s="10"/>
      <c r="K239" s="10"/>
      <c r="L239" s="10"/>
      <c r="M239" s="10"/>
      <c r="N239" s="10"/>
      <c r="O239" s="10"/>
      <c r="P239" s="11"/>
      <c r="Q239" s="11"/>
      <c r="R239" s="1"/>
      <c r="S239" s="1"/>
      <c r="T239" s="1"/>
      <c r="U239" s="1"/>
      <c r="V239" s="1"/>
      <c r="W239" s="1"/>
      <c r="X239" s="1"/>
      <c r="Y239" s="1"/>
    </row>
    <row r="240" spans="1:25" ht="16" x14ac:dyDescent="0.2">
      <c r="A240" s="6"/>
      <c r="B240" s="10"/>
      <c r="C240" s="10"/>
      <c r="D240" s="10"/>
      <c r="E240" s="10"/>
      <c r="F240" s="10"/>
      <c r="G240" s="10"/>
      <c r="H240" s="10"/>
      <c r="I240" s="10"/>
      <c r="J240" s="10"/>
      <c r="K240" s="10"/>
      <c r="L240" s="10"/>
      <c r="M240" s="10"/>
      <c r="N240" s="10"/>
      <c r="O240" s="10"/>
      <c r="P240" s="11"/>
      <c r="Q240" s="11"/>
      <c r="R240" s="1"/>
      <c r="S240" s="1"/>
      <c r="T240" s="1"/>
      <c r="U240" s="1"/>
      <c r="V240" s="1"/>
      <c r="W240" s="1"/>
      <c r="X240" s="1"/>
      <c r="Y240" s="1"/>
    </row>
    <row r="241" spans="1:25" ht="16" x14ac:dyDescent="0.2">
      <c r="A241" s="6" t="s">
        <v>624</v>
      </c>
      <c r="B241" s="10"/>
      <c r="C241" s="10"/>
      <c r="D241" s="10"/>
      <c r="E241" s="10"/>
      <c r="F241" s="10"/>
      <c r="G241" s="10"/>
      <c r="H241" s="10"/>
      <c r="I241" s="10"/>
      <c r="J241" s="10"/>
      <c r="K241" s="10"/>
      <c r="L241" s="10"/>
      <c r="M241" s="10"/>
      <c r="N241" s="10"/>
      <c r="O241" s="10"/>
      <c r="P241" s="11"/>
      <c r="Q241" s="11"/>
      <c r="R241" s="1"/>
      <c r="S241" s="1"/>
      <c r="T241" s="1"/>
      <c r="U241" s="1"/>
      <c r="V241" s="1"/>
      <c r="W241" s="1"/>
      <c r="X241" s="1"/>
      <c r="Y241" s="1"/>
    </row>
    <row r="242" spans="1:25" ht="16" x14ac:dyDescent="0.2">
      <c r="A242" s="6"/>
      <c r="B242" s="10"/>
      <c r="C242" s="10"/>
      <c r="D242" s="10"/>
      <c r="E242" s="10"/>
      <c r="F242" s="10"/>
      <c r="G242" s="10"/>
      <c r="H242" s="10"/>
      <c r="I242" s="10"/>
      <c r="J242" s="10"/>
      <c r="K242" s="10"/>
      <c r="L242" s="10"/>
      <c r="M242" s="10"/>
      <c r="N242" s="10"/>
      <c r="O242" s="10"/>
      <c r="P242" s="11"/>
      <c r="Q242" s="11"/>
      <c r="R242" s="1"/>
      <c r="S242" s="1"/>
      <c r="T242" s="1"/>
      <c r="U242" s="1"/>
      <c r="V242" s="1"/>
      <c r="W242" s="1"/>
      <c r="X242" s="1"/>
      <c r="Y242" s="1"/>
    </row>
    <row r="243" spans="1:25" ht="16" x14ac:dyDescent="0.2">
      <c r="A243" s="6" t="s">
        <v>625</v>
      </c>
      <c r="B243" s="10"/>
      <c r="C243" s="10"/>
      <c r="D243" s="10"/>
      <c r="E243" s="10"/>
      <c r="F243" s="10"/>
      <c r="G243" s="10"/>
      <c r="H243" s="10"/>
      <c r="I243" s="10"/>
      <c r="J243" s="10"/>
      <c r="K243" s="10"/>
      <c r="L243" s="10"/>
      <c r="M243" s="10"/>
      <c r="N243" s="10"/>
      <c r="O243" s="10"/>
      <c r="P243" s="11"/>
      <c r="Q243" s="11"/>
      <c r="R243" s="1"/>
      <c r="S243" s="1"/>
      <c r="T243" s="1"/>
      <c r="U243" s="1"/>
      <c r="V243" s="1"/>
      <c r="W243" s="1"/>
      <c r="X243" s="1"/>
      <c r="Y243" s="1"/>
    </row>
    <row r="244" spans="1:25" ht="16" x14ac:dyDescent="0.2">
      <c r="A244" s="6"/>
      <c r="B244" s="10"/>
      <c r="C244" s="10"/>
      <c r="D244" s="10"/>
      <c r="E244" s="10"/>
      <c r="F244" s="10"/>
      <c r="G244" s="10"/>
      <c r="H244" s="10"/>
      <c r="I244" s="10"/>
      <c r="J244" s="10"/>
      <c r="K244" s="10"/>
      <c r="L244" s="10"/>
      <c r="M244" s="10"/>
      <c r="N244" s="10"/>
      <c r="O244" s="10"/>
      <c r="P244" s="11"/>
      <c r="Q244" s="11"/>
      <c r="R244" s="1"/>
      <c r="S244" s="1"/>
      <c r="T244" s="1"/>
      <c r="U244" s="1"/>
      <c r="V244" s="1"/>
      <c r="W244" s="1"/>
      <c r="X244" s="1"/>
      <c r="Y244" s="1"/>
    </row>
    <row r="245" spans="1:25" ht="16" x14ac:dyDescent="0.2">
      <c r="A245" s="6" t="s">
        <v>626</v>
      </c>
      <c r="B245" s="10"/>
      <c r="C245" s="10"/>
      <c r="D245" s="10"/>
      <c r="E245" s="10"/>
      <c r="F245" s="10"/>
      <c r="G245" s="10"/>
      <c r="H245" s="10"/>
      <c r="I245" s="10"/>
      <c r="J245" s="10"/>
      <c r="K245" s="10"/>
      <c r="L245" s="10"/>
      <c r="M245" s="10"/>
      <c r="N245" s="10"/>
      <c r="O245" s="10"/>
      <c r="P245" s="11"/>
      <c r="Q245" s="11"/>
      <c r="R245" s="1"/>
      <c r="S245" s="1"/>
      <c r="T245" s="1"/>
      <c r="U245" s="1"/>
      <c r="V245" s="1"/>
      <c r="W245" s="1"/>
      <c r="X245" s="1"/>
      <c r="Y245" s="1"/>
    </row>
    <row r="246" spans="1:25" ht="16" x14ac:dyDescent="0.2">
      <c r="A246" s="6"/>
      <c r="B246" s="10"/>
      <c r="C246" s="10"/>
      <c r="D246" s="10"/>
      <c r="E246" s="10"/>
      <c r="F246" s="10"/>
      <c r="G246" s="10"/>
      <c r="H246" s="10"/>
      <c r="I246" s="10"/>
      <c r="J246" s="10"/>
      <c r="K246" s="10"/>
      <c r="L246" s="10"/>
      <c r="M246" s="10"/>
      <c r="N246" s="10"/>
      <c r="O246" s="10"/>
      <c r="P246" s="11"/>
      <c r="Q246" s="11"/>
      <c r="R246" s="1"/>
      <c r="S246" s="1"/>
      <c r="T246" s="1"/>
      <c r="U246" s="1"/>
      <c r="V246" s="1"/>
      <c r="W246" s="1"/>
      <c r="X246" s="1"/>
      <c r="Y246" s="1"/>
    </row>
    <row r="247" spans="1:25" ht="16" x14ac:dyDescent="0.2">
      <c r="A247" s="6" t="s">
        <v>627</v>
      </c>
      <c r="B247" s="10"/>
      <c r="C247" s="10"/>
      <c r="D247" s="10"/>
      <c r="E247" s="10"/>
      <c r="F247" s="10"/>
      <c r="G247" s="10"/>
      <c r="H247" s="10"/>
      <c r="I247" s="10"/>
      <c r="J247" s="10"/>
      <c r="K247" s="10"/>
      <c r="L247" s="10"/>
      <c r="M247" s="10"/>
      <c r="N247" s="10"/>
      <c r="O247" s="10"/>
      <c r="P247" s="11"/>
      <c r="Q247" s="11"/>
      <c r="R247" s="1"/>
      <c r="S247" s="1"/>
      <c r="T247" s="1"/>
      <c r="U247" s="1"/>
      <c r="V247" s="1"/>
      <c r="W247" s="1"/>
      <c r="X247" s="1"/>
      <c r="Y247" s="1"/>
    </row>
    <row r="248" spans="1:25" ht="16" x14ac:dyDescent="0.2">
      <c r="A248" s="6"/>
      <c r="B248" s="10"/>
      <c r="C248" s="10"/>
      <c r="D248" s="10"/>
      <c r="E248" s="10"/>
      <c r="F248" s="10"/>
      <c r="G248" s="10"/>
      <c r="H248" s="10"/>
      <c r="I248" s="10"/>
      <c r="J248" s="10"/>
      <c r="K248" s="10"/>
      <c r="L248" s="10"/>
      <c r="M248" s="10"/>
      <c r="N248" s="10"/>
      <c r="O248" s="10"/>
      <c r="P248" s="11"/>
      <c r="Q248" s="11"/>
      <c r="R248" s="1"/>
      <c r="S248" s="1"/>
      <c r="T248" s="1"/>
      <c r="U248" s="1"/>
      <c r="V248" s="1"/>
      <c r="W248" s="1"/>
      <c r="X248" s="1"/>
      <c r="Y248" s="1"/>
    </row>
    <row r="249" spans="1:25" ht="16" x14ac:dyDescent="0.2">
      <c r="A249" s="6" t="s">
        <v>628</v>
      </c>
      <c r="B249" s="10"/>
      <c r="C249" s="10"/>
      <c r="D249" s="10"/>
      <c r="E249" s="10"/>
      <c r="F249" s="10"/>
      <c r="G249" s="10"/>
      <c r="H249" s="10"/>
      <c r="I249" s="10"/>
      <c r="J249" s="10"/>
      <c r="K249" s="10"/>
      <c r="L249" s="10"/>
      <c r="M249" s="10"/>
      <c r="N249" s="10"/>
      <c r="O249" s="10"/>
      <c r="P249" s="11"/>
      <c r="Q249" s="11"/>
      <c r="R249" s="1"/>
      <c r="S249" s="1"/>
      <c r="T249" s="1"/>
      <c r="U249" s="1"/>
      <c r="V249" s="1"/>
      <c r="W249" s="1"/>
      <c r="X249" s="1"/>
      <c r="Y249" s="1"/>
    </row>
    <row r="250" spans="1:25" ht="16" x14ac:dyDescent="0.2">
      <c r="A250" s="6"/>
      <c r="B250" s="10"/>
      <c r="C250" s="10"/>
      <c r="D250" s="10"/>
      <c r="E250" s="10"/>
      <c r="F250" s="10"/>
      <c r="G250" s="10"/>
      <c r="H250" s="10"/>
      <c r="I250" s="10"/>
      <c r="J250" s="10"/>
      <c r="K250" s="10"/>
      <c r="L250" s="10"/>
      <c r="M250" s="10"/>
      <c r="N250" s="10"/>
      <c r="O250" s="10"/>
      <c r="P250" s="11"/>
      <c r="Q250" s="11"/>
      <c r="R250" s="1"/>
      <c r="S250" s="1"/>
      <c r="T250" s="1"/>
      <c r="U250" s="1"/>
      <c r="V250" s="1"/>
      <c r="W250" s="1"/>
      <c r="X250" s="1"/>
      <c r="Y250" s="1"/>
    </row>
    <row r="251" spans="1:25" ht="16" x14ac:dyDescent="0.2">
      <c r="A251" s="6" t="s">
        <v>629</v>
      </c>
      <c r="B251" s="10"/>
      <c r="C251" s="10"/>
      <c r="D251" s="10"/>
      <c r="E251" s="10"/>
      <c r="F251" s="10"/>
      <c r="G251" s="10"/>
      <c r="H251" s="10"/>
      <c r="I251" s="10"/>
      <c r="J251" s="10"/>
      <c r="K251" s="10"/>
      <c r="L251" s="10"/>
      <c r="M251" s="10"/>
      <c r="N251" s="10"/>
      <c r="O251" s="10"/>
      <c r="P251" s="11"/>
      <c r="Q251" s="11"/>
      <c r="R251" s="1"/>
      <c r="S251" s="1"/>
      <c r="T251" s="1"/>
      <c r="U251" s="1"/>
      <c r="V251" s="1"/>
      <c r="W251" s="1"/>
      <c r="X251" s="1"/>
      <c r="Y251" s="1"/>
    </row>
    <row r="252" spans="1:25" ht="16" x14ac:dyDescent="0.2">
      <c r="A252" s="6"/>
      <c r="B252" s="10"/>
      <c r="C252" s="10"/>
      <c r="D252" s="10"/>
      <c r="E252" s="10"/>
      <c r="F252" s="10"/>
      <c r="G252" s="10"/>
      <c r="H252" s="10"/>
      <c r="I252" s="10"/>
      <c r="J252" s="10"/>
      <c r="K252" s="10"/>
      <c r="L252" s="10"/>
      <c r="M252" s="10"/>
      <c r="N252" s="10"/>
      <c r="O252" s="10"/>
      <c r="P252" s="11"/>
      <c r="Q252" s="11"/>
      <c r="R252" s="1"/>
      <c r="S252" s="1"/>
      <c r="T252" s="1"/>
      <c r="U252" s="1"/>
      <c r="V252" s="1"/>
      <c r="W252" s="1"/>
      <c r="X252" s="1"/>
      <c r="Y252" s="1"/>
    </row>
    <row r="253" spans="1:25" ht="16" x14ac:dyDescent="0.2">
      <c r="A253" s="6" t="s">
        <v>630</v>
      </c>
      <c r="B253" s="10"/>
      <c r="C253" s="10"/>
      <c r="D253" s="10"/>
      <c r="E253" s="10"/>
      <c r="F253" s="10"/>
      <c r="G253" s="10"/>
      <c r="H253" s="10"/>
      <c r="I253" s="10"/>
      <c r="J253" s="10"/>
      <c r="K253" s="10"/>
      <c r="L253" s="10"/>
      <c r="M253" s="10"/>
      <c r="N253" s="10"/>
      <c r="O253" s="10"/>
      <c r="P253" s="11"/>
      <c r="Q253" s="11"/>
      <c r="R253" s="1"/>
      <c r="S253" s="1"/>
      <c r="T253" s="1"/>
      <c r="U253" s="1"/>
      <c r="V253" s="1"/>
      <c r="W253" s="1"/>
      <c r="X253" s="1"/>
      <c r="Y253" s="1"/>
    </row>
    <row r="254" spans="1:25" ht="16" x14ac:dyDescent="0.2">
      <c r="A254" s="6"/>
      <c r="B254" s="10"/>
      <c r="C254" s="10"/>
      <c r="D254" s="10"/>
      <c r="E254" s="10"/>
      <c r="F254" s="10"/>
      <c r="G254" s="10"/>
      <c r="H254" s="10"/>
      <c r="I254" s="10"/>
      <c r="J254" s="10"/>
      <c r="K254" s="10"/>
      <c r="L254" s="10"/>
      <c r="M254" s="10"/>
      <c r="N254" s="10"/>
      <c r="O254" s="10"/>
      <c r="P254" s="11"/>
      <c r="Q254" s="11"/>
      <c r="R254" s="1"/>
      <c r="S254" s="1"/>
      <c r="T254" s="1"/>
      <c r="U254" s="1"/>
      <c r="V254" s="1"/>
      <c r="W254" s="1"/>
      <c r="X254" s="1"/>
      <c r="Y254" s="1"/>
    </row>
    <row r="255" spans="1:25" ht="16" x14ac:dyDescent="0.2">
      <c r="A255" s="6" t="s">
        <v>631</v>
      </c>
      <c r="B255" s="10"/>
      <c r="C255" s="10"/>
      <c r="D255" s="10"/>
      <c r="E255" s="10"/>
      <c r="F255" s="10"/>
      <c r="G255" s="10"/>
      <c r="H255" s="10"/>
      <c r="I255" s="10"/>
      <c r="J255" s="10"/>
      <c r="K255" s="10"/>
      <c r="L255" s="10"/>
      <c r="M255" s="10"/>
      <c r="N255" s="10"/>
      <c r="O255" s="10"/>
      <c r="P255" s="11"/>
      <c r="Q255" s="11"/>
      <c r="R255" s="1"/>
      <c r="S255" s="1"/>
      <c r="T255" s="1"/>
      <c r="U255" s="1"/>
      <c r="V255" s="1"/>
      <c r="W255" s="1"/>
      <c r="X255" s="1"/>
      <c r="Y255" s="1"/>
    </row>
    <row r="256" spans="1:25" ht="16" x14ac:dyDescent="0.2">
      <c r="A256" s="6"/>
      <c r="B256" s="10"/>
      <c r="C256" s="10"/>
      <c r="D256" s="10"/>
      <c r="E256" s="10"/>
      <c r="F256" s="10"/>
      <c r="G256" s="10"/>
      <c r="H256" s="10"/>
      <c r="I256" s="10"/>
      <c r="J256" s="10"/>
      <c r="K256" s="10"/>
      <c r="L256" s="10"/>
      <c r="M256" s="10"/>
      <c r="N256" s="10"/>
      <c r="O256" s="10"/>
      <c r="P256" s="11"/>
      <c r="Q256" s="11"/>
      <c r="R256" s="1"/>
      <c r="S256" s="1"/>
      <c r="T256" s="1"/>
      <c r="U256" s="1"/>
      <c r="V256" s="1"/>
      <c r="W256" s="1"/>
      <c r="X256" s="1"/>
      <c r="Y256" s="1"/>
    </row>
    <row r="257" spans="1:25" ht="16" x14ac:dyDescent="0.2">
      <c r="A257" s="6" t="s">
        <v>632</v>
      </c>
      <c r="B257" s="10"/>
      <c r="C257" s="10"/>
      <c r="D257" s="10"/>
      <c r="E257" s="10"/>
      <c r="F257" s="10"/>
      <c r="G257" s="10"/>
      <c r="H257" s="10"/>
      <c r="I257" s="10"/>
      <c r="J257" s="10"/>
      <c r="K257" s="10"/>
      <c r="L257" s="10"/>
      <c r="M257" s="10"/>
      <c r="N257" s="10"/>
      <c r="O257" s="10"/>
      <c r="P257" s="11"/>
      <c r="Q257" s="11"/>
      <c r="R257" s="1"/>
      <c r="S257" s="1"/>
      <c r="T257" s="1"/>
      <c r="U257" s="1"/>
      <c r="V257" s="1"/>
      <c r="W257" s="1"/>
      <c r="X257" s="1"/>
      <c r="Y257" s="1"/>
    </row>
    <row r="258" spans="1:25" ht="16" x14ac:dyDescent="0.2">
      <c r="A258" s="6"/>
      <c r="B258" s="10"/>
      <c r="C258" s="10"/>
      <c r="D258" s="10"/>
      <c r="E258" s="10"/>
      <c r="F258" s="10"/>
      <c r="G258" s="10"/>
      <c r="H258" s="10"/>
      <c r="I258" s="10"/>
      <c r="J258" s="10"/>
      <c r="K258" s="10"/>
      <c r="L258" s="10"/>
      <c r="M258" s="10"/>
      <c r="N258" s="10"/>
      <c r="O258" s="10"/>
      <c r="P258" s="11"/>
      <c r="Q258" s="11"/>
      <c r="R258" s="1"/>
      <c r="S258" s="1"/>
      <c r="T258" s="1"/>
      <c r="U258" s="1"/>
      <c r="V258" s="1"/>
      <c r="W258" s="1"/>
      <c r="X258" s="1"/>
      <c r="Y258" s="1"/>
    </row>
    <row r="259" spans="1:25" ht="16" x14ac:dyDescent="0.2">
      <c r="A259" s="6" t="s">
        <v>633</v>
      </c>
      <c r="B259" s="10"/>
      <c r="C259" s="10"/>
      <c r="D259" s="10"/>
      <c r="E259" s="10"/>
      <c r="F259" s="10"/>
      <c r="G259" s="10"/>
      <c r="H259" s="10"/>
      <c r="I259" s="10"/>
      <c r="J259" s="10"/>
      <c r="K259" s="10"/>
      <c r="L259" s="10"/>
      <c r="M259" s="10"/>
      <c r="N259" s="10"/>
      <c r="O259" s="10"/>
      <c r="P259" s="11"/>
      <c r="Q259" s="11"/>
      <c r="R259" s="1"/>
      <c r="S259" s="1"/>
      <c r="T259" s="1"/>
      <c r="U259" s="1"/>
      <c r="V259" s="1"/>
      <c r="W259" s="1"/>
      <c r="X259" s="1"/>
      <c r="Y259" s="1"/>
    </row>
    <row r="260" spans="1:25" ht="16" x14ac:dyDescent="0.2">
      <c r="A260" s="6"/>
      <c r="B260" s="10"/>
      <c r="C260" s="10"/>
      <c r="D260" s="10"/>
      <c r="E260" s="10"/>
      <c r="F260" s="10"/>
      <c r="G260" s="10"/>
      <c r="H260" s="10"/>
      <c r="I260" s="10"/>
      <c r="J260" s="10"/>
      <c r="K260" s="10"/>
      <c r="L260" s="10"/>
      <c r="M260" s="10"/>
      <c r="N260" s="10"/>
      <c r="O260" s="10"/>
      <c r="P260" s="11"/>
      <c r="Q260" s="11"/>
      <c r="R260" s="1"/>
      <c r="S260" s="1"/>
      <c r="T260" s="1"/>
      <c r="U260" s="1"/>
      <c r="V260" s="1"/>
      <c r="W260" s="1"/>
      <c r="X260" s="1"/>
      <c r="Y260" s="1"/>
    </row>
    <row r="261" spans="1:25" ht="16" x14ac:dyDescent="0.2">
      <c r="A261" s="6" t="s">
        <v>634</v>
      </c>
      <c r="B261" s="10"/>
      <c r="C261" s="10"/>
      <c r="D261" s="10"/>
      <c r="E261" s="10"/>
      <c r="F261" s="10"/>
      <c r="G261" s="10"/>
      <c r="H261" s="10"/>
      <c r="I261" s="10"/>
      <c r="J261" s="10"/>
      <c r="K261" s="10"/>
      <c r="L261" s="10"/>
      <c r="M261" s="10"/>
      <c r="N261" s="10"/>
      <c r="O261" s="10"/>
      <c r="P261" s="11"/>
      <c r="Q261" s="11"/>
      <c r="R261" s="1"/>
      <c r="S261" s="1"/>
      <c r="T261" s="1"/>
      <c r="U261" s="1"/>
      <c r="V261" s="1"/>
      <c r="W261" s="1"/>
      <c r="X261" s="1"/>
      <c r="Y261" s="1"/>
    </row>
    <row r="262" spans="1:25" ht="16" x14ac:dyDescent="0.2">
      <c r="A262" s="6"/>
      <c r="B262" s="10"/>
      <c r="C262" s="10"/>
      <c r="D262" s="10"/>
      <c r="E262" s="10"/>
      <c r="F262" s="10"/>
      <c r="G262" s="10"/>
      <c r="H262" s="10"/>
      <c r="I262" s="10"/>
      <c r="J262" s="10"/>
      <c r="K262" s="10"/>
      <c r="L262" s="10"/>
      <c r="M262" s="10"/>
      <c r="N262" s="10"/>
      <c r="O262" s="10"/>
      <c r="P262" s="11"/>
      <c r="Q262" s="11"/>
      <c r="R262" s="1"/>
      <c r="S262" s="1"/>
      <c r="T262" s="1"/>
      <c r="U262" s="1"/>
      <c r="V262" s="1"/>
      <c r="W262" s="1"/>
      <c r="X262" s="1"/>
      <c r="Y262" s="1"/>
    </row>
    <row r="263" spans="1:25" ht="16" x14ac:dyDescent="0.2">
      <c r="A263" s="6" t="s">
        <v>635</v>
      </c>
      <c r="B263" s="10"/>
      <c r="C263" s="10"/>
      <c r="D263" s="10"/>
      <c r="E263" s="10"/>
      <c r="F263" s="10"/>
      <c r="G263" s="10"/>
      <c r="H263" s="10"/>
      <c r="I263" s="10"/>
      <c r="J263" s="10"/>
      <c r="K263" s="10"/>
      <c r="L263" s="10"/>
      <c r="M263" s="10"/>
      <c r="N263" s="10"/>
      <c r="O263" s="10"/>
      <c r="P263" s="11"/>
      <c r="Q263" s="11"/>
      <c r="R263" s="1"/>
      <c r="S263" s="1"/>
      <c r="T263" s="1"/>
      <c r="U263" s="1"/>
      <c r="V263" s="1"/>
      <c r="W263" s="1"/>
      <c r="X263" s="1"/>
      <c r="Y263" s="1"/>
    </row>
    <row r="264" spans="1:25" ht="16" x14ac:dyDescent="0.2">
      <c r="A264" s="6"/>
      <c r="B264" s="10"/>
      <c r="C264" s="10"/>
      <c r="D264" s="10"/>
      <c r="E264" s="10"/>
      <c r="F264" s="10"/>
      <c r="G264" s="10"/>
      <c r="H264" s="10"/>
      <c r="I264" s="10"/>
      <c r="J264" s="10"/>
      <c r="K264" s="10"/>
      <c r="L264" s="10"/>
      <c r="M264" s="10"/>
      <c r="N264" s="10"/>
      <c r="O264" s="10"/>
      <c r="P264" s="11"/>
      <c r="Q264" s="11"/>
      <c r="R264" s="1"/>
      <c r="S264" s="1"/>
      <c r="T264" s="1"/>
      <c r="U264" s="1"/>
      <c r="V264" s="1"/>
      <c r="W264" s="1"/>
      <c r="X264" s="1"/>
      <c r="Y264" s="1"/>
    </row>
    <row r="265" spans="1:25" ht="16" x14ac:dyDescent="0.2">
      <c r="A265" s="6" t="s">
        <v>636</v>
      </c>
      <c r="B265" s="10"/>
      <c r="C265" s="10"/>
      <c r="D265" s="10"/>
      <c r="E265" s="10"/>
      <c r="F265" s="10"/>
      <c r="G265" s="10"/>
      <c r="H265" s="10"/>
      <c r="I265" s="10"/>
      <c r="J265" s="10"/>
      <c r="K265" s="10"/>
      <c r="L265" s="10"/>
      <c r="M265" s="10"/>
      <c r="N265" s="10"/>
      <c r="O265" s="10"/>
      <c r="P265" s="11"/>
      <c r="Q265" s="11"/>
      <c r="R265" s="1"/>
      <c r="S265" s="1"/>
      <c r="T265" s="1"/>
      <c r="U265" s="1"/>
      <c r="V265" s="1"/>
      <c r="W265" s="1"/>
      <c r="X265" s="1"/>
      <c r="Y265" s="1"/>
    </row>
    <row r="266" spans="1:25" ht="16" x14ac:dyDescent="0.2">
      <c r="A266" s="6"/>
      <c r="B266" s="10"/>
      <c r="C266" s="10"/>
      <c r="D266" s="10"/>
      <c r="E266" s="10"/>
      <c r="F266" s="10"/>
      <c r="G266" s="10"/>
      <c r="H266" s="10"/>
      <c r="I266" s="10"/>
      <c r="J266" s="10"/>
      <c r="K266" s="10"/>
      <c r="L266" s="10"/>
      <c r="M266" s="10"/>
      <c r="N266" s="10"/>
      <c r="O266" s="10"/>
      <c r="P266" s="11"/>
      <c r="Q266" s="11"/>
      <c r="R266" s="1"/>
      <c r="S266" s="1"/>
      <c r="T266" s="1"/>
      <c r="U266" s="1"/>
      <c r="V266" s="1"/>
      <c r="W266" s="1"/>
      <c r="X266" s="1"/>
      <c r="Y266" s="1"/>
    </row>
    <row r="267" spans="1:25" ht="16" x14ac:dyDescent="0.2">
      <c r="A267" s="6" t="s">
        <v>637</v>
      </c>
      <c r="B267" s="10"/>
      <c r="C267" s="10"/>
      <c r="D267" s="10"/>
      <c r="E267" s="10"/>
      <c r="F267" s="10"/>
      <c r="G267" s="10"/>
      <c r="H267" s="10"/>
      <c r="I267" s="10"/>
      <c r="J267" s="10"/>
      <c r="K267" s="10"/>
      <c r="L267" s="10"/>
      <c r="M267" s="10"/>
      <c r="N267" s="10"/>
      <c r="O267" s="10"/>
      <c r="P267" s="11"/>
      <c r="Q267" s="11"/>
      <c r="R267" s="1"/>
      <c r="S267" s="1"/>
      <c r="T267" s="1"/>
      <c r="U267" s="1"/>
      <c r="V267" s="1"/>
      <c r="W267" s="1"/>
      <c r="X267" s="1"/>
      <c r="Y267" s="1"/>
    </row>
    <row r="268" spans="1:25" ht="16" x14ac:dyDescent="0.2">
      <c r="A268" s="6"/>
      <c r="B268" s="10"/>
      <c r="C268" s="10"/>
      <c r="D268" s="10"/>
      <c r="E268" s="10"/>
      <c r="F268" s="10"/>
      <c r="G268" s="10"/>
      <c r="H268" s="10"/>
      <c r="I268" s="10"/>
      <c r="J268" s="10"/>
      <c r="K268" s="10"/>
      <c r="L268" s="10"/>
      <c r="M268" s="10"/>
      <c r="N268" s="10"/>
      <c r="O268" s="10"/>
      <c r="P268" s="11"/>
      <c r="Q268" s="11"/>
      <c r="R268" s="1"/>
      <c r="S268" s="1"/>
      <c r="T268" s="1"/>
      <c r="U268" s="1"/>
      <c r="V268" s="1"/>
      <c r="W268" s="1"/>
      <c r="X268" s="1"/>
      <c r="Y268" s="1"/>
    </row>
    <row r="269" spans="1:25" ht="16" x14ac:dyDescent="0.2">
      <c r="A269" s="6" t="s">
        <v>638</v>
      </c>
      <c r="B269" s="10"/>
      <c r="C269" s="10"/>
      <c r="D269" s="10"/>
      <c r="E269" s="10"/>
      <c r="F269" s="10"/>
      <c r="G269" s="10"/>
      <c r="H269" s="10"/>
      <c r="I269" s="10"/>
      <c r="J269" s="10"/>
      <c r="K269" s="10"/>
      <c r="L269" s="10"/>
      <c r="M269" s="10"/>
      <c r="N269" s="10"/>
      <c r="O269" s="10"/>
      <c r="P269" s="11"/>
      <c r="Q269" s="11"/>
      <c r="R269" s="1"/>
      <c r="S269" s="1"/>
      <c r="T269" s="1"/>
      <c r="U269" s="1"/>
      <c r="V269" s="1"/>
      <c r="W269" s="1"/>
      <c r="X269" s="1"/>
      <c r="Y269" s="1"/>
    </row>
    <row r="270" spans="1:25" ht="16" x14ac:dyDescent="0.2">
      <c r="A270" s="6"/>
      <c r="B270" s="10"/>
      <c r="C270" s="10"/>
      <c r="D270" s="10"/>
      <c r="E270" s="10"/>
      <c r="F270" s="10"/>
      <c r="G270" s="10"/>
      <c r="H270" s="10"/>
      <c r="I270" s="10"/>
      <c r="J270" s="10"/>
      <c r="K270" s="10"/>
      <c r="L270" s="10"/>
      <c r="M270" s="10"/>
      <c r="N270" s="10"/>
      <c r="O270" s="10"/>
      <c r="P270" s="11"/>
      <c r="Q270" s="11"/>
      <c r="R270" s="1"/>
      <c r="S270" s="1"/>
      <c r="T270" s="1"/>
      <c r="U270" s="1"/>
      <c r="V270" s="1"/>
      <c r="W270" s="1"/>
      <c r="X270" s="1"/>
      <c r="Y270" s="1"/>
    </row>
    <row r="271" spans="1:25" ht="16" x14ac:dyDescent="0.2">
      <c r="A271" s="6" t="s">
        <v>639</v>
      </c>
      <c r="B271" s="10"/>
      <c r="C271" s="10"/>
      <c r="D271" s="10"/>
      <c r="E271" s="10"/>
      <c r="F271" s="10"/>
      <c r="G271" s="10"/>
      <c r="H271" s="10"/>
      <c r="I271" s="10"/>
      <c r="J271" s="10"/>
      <c r="K271" s="10"/>
      <c r="L271" s="10"/>
      <c r="M271" s="10"/>
      <c r="N271" s="10"/>
      <c r="O271" s="10"/>
      <c r="P271" s="11"/>
      <c r="Q271" s="11"/>
      <c r="R271" s="1"/>
      <c r="S271" s="1"/>
      <c r="T271" s="1"/>
      <c r="U271" s="1"/>
      <c r="V271" s="1"/>
      <c r="W271" s="1"/>
      <c r="X271" s="1"/>
      <c r="Y271" s="1"/>
    </row>
    <row r="272" spans="1:25" ht="16" x14ac:dyDescent="0.2">
      <c r="A272" s="6"/>
      <c r="B272" s="10"/>
      <c r="C272" s="10"/>
      <c r="D272" s="10"/>
      <c r="E272" s="10"/>
      <c r="F272" s="10"/>
      <c r="G272" s="10"/>
      <c r="H272" s="10"/>
      <c r="I272" s="10"/>
      <c r="J272" s="10"/>
      <c r="K272" s="10"/>
      <c r="L272" s="10"/>
      <c r="M272" s="10"/>
      <c r="N272" s="10"/>
      <c r="O272" s="10"/>
      <c r="P272" s="11"/>
      <c r="Q272" s="11"/>
      <c r="R272" s="1"/>
      <c r="S272" s="1"/>
      <c r="T272" s="1"/>
      <c r="U272" s="1"/>
      <c r="V272" s="1"/>
      <c r="W272" s="1"/>
      <c r="X272" s="1"/>
      <c r="Y272" s="1"/>
    </row>
    <row r="273" spans="1:25" ht="16" x14ac:dyDescent="0.2">
      <c r="A273" s="6" t="s">
        <v>640</v>
      </c>
      <c r="B273" s="10"/>
      <c r="C273" s="10"/>
      <c r="D273" s="10"/>
      <c r="E273" s="10"/>
      <c r="F273" s="10"/>
      <c r="G273" s="10"/>
      <c r="H273" s="10"/>
      <c r="I273" s="10"/>
      <c r="J273" s="10"/>
      <c r="K273" s="10"/>
      <c r="L273" s="10"/>
      <c r="M273" s="10"/>
      <c r="N273" s="10"/>
      <c r="O273" s="10"/>
      <c r="P273" s="11"/>
      <c r="Q273" s="11"/>
      <c r="R273" s="1"/>
      <c r="S273" s="1"/>
      <c r="T273" s="1"/>
      <c r="U273" s="1"/>
      <c r="V273" s="1"/>
      <c r="W273" s="1"/>
      <c r="X273" s="1"/>
      <c r="Y273" s="1"/>
    </row>
    <row r="274" spans="1:25" ht="16" x14ac:dyDescent="0.2">
      <c r="A274" s="6"/>
      <c r="B274" s="10"/>
      <c r="C274" s="10"/>
      <c r="D274" s="10"/>
      <c r="E274" s="10"/>
      <c r="F274" s="10"/>
      <c r="G274" s="10"/>
      <c r="H274" s="10"/>
      <c r="I274" s="10"/>
      <c r="J274" s="10"/>
      <c r="K274" s="10"/>
      <c r="L274" s="10"/>
      <c r="M274" s="10"/>
      <c r="N274" s="10"/>
      <c r="O274" s="10"/>
      <c r="P274" s="11"/>
      <c r="Q274" s="11"/>
      <c r="R274" s="1"/>
      <c r="S274" s="1"/>
      <c r="T274" s="1"/>
      <c r="U274" s="1"/>
      <c r="V274" s="1"/>
      <c r="W274" s="1"/>
      <c r="X274" s="1"/>
      <c r="Y274" s="1"/>
    </row>
    <row r="275" spans="1:25" ht="16" x14ac:dyDescent="0.2">
      <c r="A275" s="6" t="s">
        <v>641</v>
      </c>
      <c r="B275" s="10"/>
      <c r="C275" s="10"/>
      <c r="D275" s="10"/>
      <c r="E275" s="10"/>
      <c r="F275" s="10"/>
      <c r="G275" s="10"/>
      <c r="H275" s="10"/>
      <c r="I275" s="10"/>
      <c r="J275" s="10"/>
      <c r="K275" s="10"/>
      <c r="L275" s="10"/>
      <c r="M275" s="10"/>
      <c r="N275" s="10"/>
      <c r="O275" s="10"/>
      <c r="P275" s="11"/>
      <c r="Q275" s="11"/>
      <c r="R275" s="1"/>
      <c r="S275" s="1"/>
      <c r="T275" s="1"/>
      <c r="U275" s="1"/>
      <c r="V275" s="1"/>
      <c r="W275" s="1"/>
      <c r="X275" s="1"/>
      <c r="Y275" s="1"/>
    </row>
    <row r="276" spans="1:25" ht="16" x14ac:dyDescent="0.2">
      <c r="A276" s="6"/>
      <c r="B276" s="10"/>
      <c r="C276" s="10"/>
      <c r="D276" s="10"/>
      <c r="E276" s="10"/>
      <c r="F276" s="10"/>
      <c r="G276" s="10"/>
      <c r="H276" s="10"/>
      <c r="I276" s="10"/>
      <c r="J276" s="10"/>
      <c r="K276" s="10"/>
      <c r="L276" s="10"/>
      <c r="M276" s="10"/>
      <c r="N276" s="10"/>
      <c r="O276" s="10"/>
      <c r="P276" s="11"/>
      <c r="Q276" s="11"/>
      <c r="R276" s="1"/>
      <c r="S276" s="1"/>
      <c r="T276" s="1"/>
      <c r="U276" s="1"/>
      <c r="V276" s="1"/>
      <c r="W276" s="1"/>
      <c r="X276" s="1"/>
      <c r="Y276" s="1"/>
    </row>
    <row r="277" spans="1:25" ht="16" x14ac:dyDescent="0.2">
      <c r="A277" s="6" t="s">
        <v>642</v>
      </c>
      <c r="B277" s="10"/>
      <c r="C277" s="10"/>
      <c r="D277" s="10"/>
      <c r="E277" s="10"/>
      <c r="F277" s="10"/>
      <c r="G277" s="10"/>
      <c r="H277" s="10"/>
      <c r="I277" s="10"/>
      <c r="J277" s="10"/>
      <c r="K277" s="10"/>
      <c r="L277" s="10"/>
      <c r="M277" s="10"/>
      <c r="N277" s="10"/>
      <c r="O277" s="10"/>
      <c r="P277" s="11"/>
      <c r="Q277" s="11"/>
      <c r="R277" s="1"/>
      <c r="S277" s="1"/>
      <c r="T277" s="1"/>
      <c r="U277" s="1"/>
      <c r="V277" s="1"/>
      <c r="W277" s="1"/>
      <c r="X277" s="1"/>
      <c r="Y277" s="1"/>
    </row>
    <row r="278" spans="1:25" ht="16" x14ac:dyDescent="0.2">
      <c r="A278" s="6"/>
      <c r="B278" s="10"/>
      <c r="C278" s="10"/>
      <c r="D278" s="10"/>
      <c r="E278" s="10"/>
      <c r="F278" s="10"/>
      <c r="G278" s="10"/>
      <c r="H278" s="10"/>
      <c r="I278" s="10"/>
      <c r="J278" s="10"/>
      <c r="K278" s="10"/>
      <c r="L278" s="10"/>
      <c r="M278" s="10"/>
      <c r="N278" s="10"/>
      <c r="O278" s="10"/>
      <c r="P278" s="11"/>
      <c r="Q278" s="11"/>
      <c r="R278" s="1"/>
      <c r="S278" s="1"/>
      <c r="T278" s="1"/>
      <c r="U278" s="1"/>
      <c r="V278" s="1"/>
      <c r="W278" s="1"/>
      <c r="X278" s="1"/>
      <c r="Y278" s="1"/>
    </row>
    <row r="279" spans="1:25" ht="16" x14ac:dyDescent="0.2">
      <c r="A279" s="6" t="s">
        <v>643</v>
      </c>
      <c r="B279" s="10"/>
      <c r="C279" s="10"/>
      <c r="D279" s="10"/>
      <c r="E279" s="10"/>
      <c r="F279" s="10"/>
      <c r="G279" s="10"/>
      <c r="H279" s="10"/>
      <c r="I279" s="10"/>
      <c r="J279" s="10"/>
      <c r="K279" s="10"/>
      <c r="L279" s="10"/>
      <c r="M279" s="10"/>
      <c r="N279" s="10"/>
      <c r="O279" s="10"/>
      <c r="P279" s="11"/>
      <c r="Q279" s="11"/>
      <c r="R279" s="1"/>
      <c r="S279" s="1"/>
      <c r="T279" s="1"/>
      <c r="U279" s="1"/>
      <c r="V279" s="1"/>
      <c r="W279" s="1"/>
      <c r="X279" s="1"/>
      <c r="Y279" s="1"/>
    </row>
    <row r="280" spans="1:25" ht="16" x14ac:dyDescent="0.2">
      <c r="A280" s="6"/>
      <c r="B280" s="10"/>
      <c r="C280" s="10"/>
      <c r="D280" s="10"/>
      <c r="E280" s="10"/>
      <c r="F280" s="10"/>
      <c r="G280" s="10"/>
      <c r="H280" s="10"/>
      <c r="I280" s="10"/>
      <c r="J280" s="10"/>
      <c r="K280" s="10"/>
      <c r="L280" s="10"/>
      <c r="M280" s="10"/>
      <c r="N280" s="10"/>
      <c r="O280" s="10"/>
      <c r="P280" s="11"/>
      <c r="Q280" s="11"/>
      <c r="R280" s="1"/>
      <c r="S280" s="1"/>
      <c r="T280" s="1"/>
      <c r="U280" s="1"/>
      <c r="V280" s="1"/>
      <c r="W280" s="1"/>
      <c r="X280" s="1"/>
      <c r="Y280" s="1"/>
    </row>
    <row r="281" spans="1:25" ht="16" x14ac:dyDescent="0.2">
      <c r="A281" s="6" t="s">
        <v>695</v>
      </c>
      <c r="B281" s="10"/>
      <c r="C281" s="10"/>
      <c r="D281" s="10"/>
      <c r="E281" s="10"/>
      <c r="F281" s="10"/>
      <c r="G281" s="10"/>
      <c r="H281" s="10"/>
      <c r="I281" s="10"/>
      <c r="J281" s="10"/>
      <c r="K281" s="10"/>
      <c r="L281" s="10"/>
      <c r="M281" s="10"/>
      <c r="N281" s="10"/>
      <c r="O281" s="10"/>
      <c r="P281" s="11"/>
      <c r="Q281" s="11"/>
      <c r="R281" s="1"/>
      <c r="S281" s="1"/>
      <c r="T281" s="1"/>
      <c r="U281" s="1"/>
      <c r="V281" s="1"/>
      <c r="W281" s="1"/>
      <c r="X281" s="1"/>
      <c r="Y281" s="1"/>
    </row>
    <row r="282" spans="1:25" ht="16" x14ac:dyDescent="0.2">
      <c r="A282" s="6"/>
      <c r="B282" s="10"/>
      <c r="C282" s="10"/>
      <c r="D282" s="10"/>
      <c r="E282" s="10"/>
      <c r="F282" s="10"/>
      <c r="G282" s="10"/>
      <c r="H282" s="10"/>
      <c r="I282" s="10"/>
      <c r="J282" s="10"/>
      <c r="K282" s="10"/>
      <c r="L282" s="10"/>
      <c r="M282" s="10"/>
      <c r="N282" s="10"/>
      <c r="O282" s="10"/>
      <c r="P282" s="11"/>
      <c r="Q282" s="11"/>
      <c r="R282" s="1"/>
      <c r="S282" s="1"/>
      <c r="T282" s="1"/>
      <c r="U282" s="1"/>
      <c r="V282" s="1"/>
      <c r="W282" s="1"/>
      <c r="X282" s="1"/>
      <c r="Y282" s="1"/>
    </row>
    <row r="283" spans="1:25" ht="16" x14ac:dyDescent="0.2">
      <c r="A283" s="6" t="s">
        <v>644</v>
      </c>
      <c r="B283" s="10"/>
      <c r="C283" s="10"/>
      <c r="D283" s="10"/>
      <c r="E283" s="10"/>
      <c r="F283" s="10"/>
      <c r="G283" s="10"/>
      <c r="H283" s="10"/>
      <c r="I283" s="10"/>
      <c r="J283" s="10"/>
      <c r="K283" s="10"/>
      <c r="L283" s="10"/>
      <c r="M283" s="10"/>
      <c r="N283" s="10"/>
      <c r="O283" s="10"/>
      <c r="P283" s="11"/>
      <c r="Q283" s="11"/>
      <c r="R283" s="1"/>
      <c r="S283" s="1"/>
      <c r="T283" s="1"/>
      <c r="U283" s="1"/>
      <c r="V283" s="1"/>
      <c r="W283" s="1"/>
      <c r="X283" s="1"/>
      <c r="Y283" s="1"/>
    </row>
    <row r="284" spans="1:25" ht="16" x14ac:dyDescent="0.2">
      <c r="A284" s="6"/>
      <c r="B284" s="10"/>
      <c r="C284" s="10"/>
      <c r="D284" s="10"/>
      <c r="E284" s="10"/>
      <c r="F284" s="10"/>
      <c r="G284" s="10"/>
      <c r="H284" s="10"/>
      <c r="I284" s="10"/>
      <c r="J284" s="10"/>
      <c r="K284" s="10"/>
      <c r="L284" s="10"/>
      <c r="M284" s="10"/>
      <c r="N284" s="10"/>
      <c r="O284" s="10"/>
      <c r="P284" s="11"/>
      <c r="Q284" s="11"/>
      <c r="R284" s="1"/>
      <c r="S284" s="1"/>
      <c r="T284" s="1"/>
      <c r="U284" s="1"/>
      <c r="V284" s="1"/>
      <c r="W284" s="1"/>
      <c r="X284" s="1"/>
      <c r="Y284" s="1"/>
    </row>
    <row r="285" spans="1:25" ht="16" x14ac:dyDescent="0.2">
      <c r="A285" s="6" t="s">
        <v>645</v>
      </c>
      <c r="B285" s="10"/>
      <c r="C285" s="10"/>
      <c r="D285" s="10"/>
      <c r="E285" s="10"/>
      <c r="F285" s="10"/>
      <c r="G285" s="10"/>
      <c r="H285" s="10"/>
      <c r="I285" s="10"/>
      <c r="J285" s="10"/>
      <c r="K285" s="10"/>
      <c r="L285" s="10"/>
      <c r="M285" s="10"/>
      <c r="N285" s="10"/>
      <c r="O285" s="10"/>
      <c r="P285" s="11"/>
      <c r="Q285" s="11"/>
      <c r="R285" s="1"/>
      <c r="S285" s="1"/>
      <c r="T285" s="1"/>
      <c r="U285" s="1"/>
      <c r="V285" s="1"/>
      <c r="W285" s="1"/>
      <c r="X285" s="1"/>
      <c r="Y285" s="1"/>
    </row>
    <row r="286" spans="1:25" ht="16" x14ac:dyDescent="0.2">
      <c r="A286" s="6"/>
      <c r="B286" s="10"/>
      <c r="C286" s="10"/>
      <c r="D286" s="10"/>
      <c r="E286" s="10"/>
      <c r="F286" s="10"/>
      <c r="G286" s="10"/>
      <c r="H286" s="10"/>
      <c r="I286" s="10"/>
      <c r="J286" s="10"/>
      <c r="K286" s="10"/>
      <c r="L286" s="10"/>
      <c r="M286" s="10"/>
      <c r="N286" s="10"/>
      <c r="O286" s="10"/>
      <c r="P286" s="11"/>
      <c r="Q286" s="11"/>
      <c r="R286" s="1"/>
      <c r="S286" s="1"/>
      <c r="T286" s="1"/>
      <c r="U286" s="1"/>
      <c r="V286" s="1"/>
      <c r="W286" s="1"/>
      <c r="X286" s="1"/>
      <c r="Y286" s="1"/>
    </row>
    <row r="287" spans="1:25" ht="16" x14ac:dyDescent="0.2">
      <c r="A287" s="6" t="s">
        <v>646</v>
      </c>
      <c r="B287" s="10"/>
      <c r="C287" s="10"/>
      <c r="D287" s="10"/>
      <c r="E287" s="10"/>
      <c r="F287" s="10"/>
      <c r="G287" s="10"/>
      <c r="H287" s="10"/>
      <c r="I287" s="10"/>
      <c r="J287" s="10"/>
      <c r="K287" s="10"/>
      <c r="L287" s="10"/>
      <c r="M287" s="10"/>
      <c r="N287" s="10"/>
      <c r="O287" s="10"/>
      <c r="P287" s="11"/>
      <c r="Q287" s="11"/>
      <c r="R287" s="1"/>
      <c r="S287" s="1"/>
      <c r="T287" s="1"/>
      <c r="U287" s="1"/>
      <c r="V287" s="1"/>
      <c r="W287" s="1"/>
      <c r="X287" s="1"/>
      <c r="Y287" s="1"/>
    </row>
    <row r="288" spans="1:25" ht="16" x14ac:dyDescent="0.2">
      <c r="A288" s="6"/>
      <c r="B288" s="10"/>
      <c r="C288" s="10"/>
      <c r="D288" s="10"/>
      <c r="E288" s="10"/>
      <c r="F288" s="10"/>
      <c r="G288" s="10"/>
      <c r="H288" s="10"/>
      <c r="I288" s="10"/>
      <c r="J288" s="10"/>
      <c r="K288" s="10"/>
      <c r="L288" s="10"/>
      <c r="M288" s="10"/>
      <c r="N288" s="10"/>
      <c r="O288" s="10"/>
      <c r="P288" s="11"/>
      <c r="Q288" s="11"/>
      <c r="R288" s="1"/>
      <c r="S288" s="1"/>
      <c r="T288" s="1"/>
      <c r="U288" s="1"/>
      <c r="V288" s="1"/>
      <c r="W288" s="1"/>
      <c r="X288" s="1"/>
      <c r="Y288" s="1"/>
    </row>
    <row r="289" spans="1:25" ht="16" x14ac:dyDescent="0.2">
      <c r="A289" s="6" t="s">
        <v>647</v>
      </c>
      <c r="B289" s="10"/>
      <c r="C289" s="10"/>
      <c r="D289" s="10"/>
      <c r="E289" s="10"/>
      <c r="F289" s="10"/>
      <c r="G289" s="10"/>
      <c r="H289" s="10"/>
      <c r="I289" s="10"/>
      <c r="J289" s="10"/>
      <c r="K289" s="10"/>
      <c r="L289" s="10"/>
      <c r="M289" s="10"/>
      <c r="N289" s="10"/>
      <c r="O289" s="10"/>
      <c r="P289" s="11"/>
      <c r="Q289" s="11"/>
      <c r="R289" s="1"/>
      <c r="S289" s="1"/>
      <c r="T289" s="1"/>
      <c r="U289" s="1"/>
      <c r="V289" s="1"/>
      <c r="W289" s="1"/>
      <c r="X289" s="1"/>
      <c r="Y289" s="1"/>
    </row>
    <row r="290" spans="1:25" ht="16" x14ac:dyDescent="0.2">
      <c r="A290" s="6"/>
      <c r="B290" s="10"/>
      <c r="C290" s="10"/>
      <c r="D290" s="10"/>
      <c r="E290" s="10"/>
      <c r="F290" s="10"/>
      <c r="G290" s="10"/>
      <c r="H290" s="10"/>
      <c r="I290" s="10"/>
      <c r="J290" s="10"/>
      <c r="K290" s="10"/>
      <c r="L290" s="10"/>
      <c r="M290" s="10"/>
      <c r="N290" s="10"/>
      <c r="O290" s="10"/>
      <c r="P290" s="11"/>
      <c r="Q290" s="11"/>
      <c r="R290" s="1"/>
      <c r="S290" s="1"/>
      <c r="T290" s="1"/>
      <c r="U290" s="1"/>
      <c r="V290" s="1"/>
      <c r="W290" s="1"/>
      <c r="X290" s="1"/>
      <c r="Y290" s="1"/>
    </row>
    <row r="291" spans="1:25" ht="16" x14ac:dyDescent="0.2">
      <c r="A291" s="6" t="s">
        <v>648</v>
      </c>
      <c r="B291" s="10"/>
      <c r="C291" s="10"/>
      <c r="D291" s="10"/>
      <c r="E291" s="10"/>
      <c r="F291" s="10"/>
      <c r="G291" s="10"/>
      <c r="H291" s="10"/>
      <c r="I291" s="10"/>
      <c r="J291" s="10"/>
      <c r="K291" s="10"/>
      <c r="L291" s="10"/>
      <c r="M291" s="10"/>
      <c r="N291" s="10"/>
      <c r="O291" s="10"/>
      <c r="P291" s="11"/>
      <c r="Q291" s="11"/>
      <c r="R291" s="1"/>
      <c r="S291" s="1"/>
      <c r="T291" s="1"/>
      <c r="U291" s="1"/>
      <c r="V291" s="1"/>
      <c r="W291" s="1"/>
      <c r="X291" s="1"/>
      <c r="Y291" s="1"/>
    </row>
    <row r="292" spans="1:25" ht="16" x14ac:dyDescent="0.2">
      <c r="A292" s="6"/>
      <c r="B292" s="10"/>
      <c r="C292" s="10"/>
      <c r="D292" s="10"/>
      <c r="E292" s="10"/>
      <c r="F292" s="10"/>
      <c r="G292" s="10"/>
      <c r="H292" s="10"/>
      <c r="I292" s="10"/>
      <c r="J292" s="10"/>
      <c r="K292" s="10"/>
      <c r="L292" s="10"/>
      <c r="M292" s="10"/>
      <c r="N292" s="10"/>
      <c r="O292" s="10"/>
      <c r="P292" s="11"/>
      <c r="Q292" s="11"/>
      <c r="R292" s="1"/>
      <c r="S292" s="1"/>
      <c r="T292" s="1"/>
      <c r="U292" s="1"/>
      <c r="V292" s="1"/>
      <c r="W292" s="1"/>
      <c r="X292" s="1"/>
      <c r="Y292" s="1"/>
    </row>
    <row r="293" spans="1:25" ht="16" x14ac:dyDescent="0.2">
      <c r="A293" s="6" t="s">
        <v>649</v>
      </c>
      <c r="B293" s="10"/>
      <c r="C293" s="10"/>
      <c r="D293" s="10"/>
      <c r="E293" s="10"/>
      <c r="F293" s="10"/>
      <c r="G293" s="10"/>
      <c r="H293" s="10"/>
      <c r="I293" s="10"/>
      <c r="J293" s="10"/>
      <c r="K293" s="10"/>
      <c r="L293" s="10"/>
      <c r="M293" s="10"/>
      <c r="N293" s="10"/>
      <c r="O293" s="10"/>
      <c r="P293" s="11"/>
      <c r="Q293" s="11"/>
      <c r="R293" s="1"/>
      <c r="S293" s="1"/>
      <c r="T293" s="1"/>
      <c r="U293" s="1"/>
      <c r="V293" s="1"/>
      <c r="W293" s="1"/>
      <c r="X293" s="1"/>
      <c r="Y293" s="1"/>
    </row>
    <row r="294" spans="1:25" ht="16" x14ac:dyDescent="0.2">
      <c r="A294" s="6"/>
      <c r="B294" s="10"/>
      <c r="C294" s="10"/>
      <c r="D294" s="10"/>
      <c r="E294" s="10"/>
      <c r="F294" s="10"/>
      <c r="G294" s="10"/>
      <c r="H294" s="10"/>
      <c r="I294" s="10"/>
      <c r="J294" s="10"/>
      <c r="K294" s="10"/>
      <c r="L294" s="10"/>
      <c r="M294" s="10"/>
      <c r="N294" s="10"/>
      <c r="O294" s="10"/>
      <c r="P294" s="11"/>
      <c r="Q294" s="11"/>
      <c r="R294" s="1"/>
      <c r="S294" s="1"/>
      <c r="T294" s="1"/>
      <c r="U294" s="1"/>
      <c r="V294" s="1"/>
      <c r="W294" s="1"/>
      <c r="X294" s="1"/>
      <c r="Y294" s="1"/>
    </row>
    <row r="295" spans="1:25" ht="16" x14ac:dyDescent="0.2">
      <c r="A295" s="6" t="s">
        <v>650</v>
      </c>
      <c r="B295" s="10"/>
      <c r="C295" s="10"/>
      <c r="D295" s="10"/>
      <c r="E295" s="10"/>
      <c r="F295" s="10"/>
      <c r="G295" s="10"/>
      <c r="H295" s="10"/>
      <c r="I295" s="10"/>
      <c r="J295" s="10"/>
      <c r="K295" s="10"/>
      <c r="L295" s="10"/>
      <c r="M295" s="10"/>
      <c r="N295" s="10"/>
      <c r="O295" s="10"/>
      <c r="P295" s="11"/>
      <c r="Q295" s="11"/>
      <c r="R295" s="1"/>
      <c r="S295" s="1"/>
      <c r="T295" s="1"/>
      <c r="U295" s="1"/>
      <c r="V295" s="1"/>
      <c r="W295" s="1"/>
      <c r="X295" s="1"/>
      <c r="Y295" s="1"/>
    </row>
    <row r="296" spans="1:25" ht="16" x14ac:dyDescent="0.2">
      <c r="A296" s="6"/>
      <c r="B296" s="10"/>
      <c r="C296" s="10"/>
      <c r="D296" s="10"/>
      <c r="E296" s="10"/>
      <c r="F296" s="10"/>
      <c r="G296" s="10"/>
      <c r="H296" s="10"/>
      <c r="I296" s="10"/>
      <c r="J296" s="10"/>
      <c r="K296" s="10"/>
      <c r="L296" s="10"/>
      <c r="M296" s="10"/>
      <c r="N296" s="10"/>
      <c r="O296" s="10"/>
      <c r="P296" s="11"/>
      <c r="Q296" s="11"/>
      <c r="R296" s="1"/>
      <c r="S296" s="1"/>
      <c r="T296" s="1"/>
      <c r="U296" s="1"/>
      <c r="V296" s="1"/>
      <c r="W296" s="1"/>
      <c r="X296" s="1"/>
      <c r="Y296" s="1"/>
    </row>
    <row r="297" spans="1:25" ht="16" x14ac:dyDescent="0.2">
      <c r="A297" s="6" t="s">
        <v>651</v>
      </c>
      <c r="B297" s="10"/>
      <c r="C297" s="10"/>
      <c r="D297" s="10"/>
      <c r="E297" s="10"/>
      <c r="F297" s="10"/>
      <c r="G297" s="10"/>
      <c r="H297" s="10"/>
      <c r="I297" s="10"/>
      <c r="J297" s="10"/>
      <c r="K297" s="10"/>
      <c r="L297" s="10"/>
      <c r="M297" s="10"/>
      <c r="N297" s="10"/>
      <c r="O297" s="10"/>
      <c r="P297" s="11"/>
      <c r="Q297" s="11"/>
      <c r="R297" s="1"/>
      <c r="S297" s="1"/>
      <c r="T297" s="1"/>
      <c r="U297" s="1"/>
      <c r="V297" s="1"/>
      <c r="W297" s="1"/>
      <c r="X297" s="1"/>
      <c r="Y297" s="1"/>
    </row>
    <row r="298" spans="1:25" ht="16" x14ac:dyDescent="0.2">
      <c r="A298" s="6"/>
      <c r="B298" s="10"/>
      <c r="C298" s="10"/>
      <c r="D298" s="10"/>
      <c r="E298" s="10"/>
      <c r="F298" s="10"/>
      <c r="G298" s="10"/>
      <c r="H298" s="10"/>
      <c r="I298" s="10"/>
      <c r="J298" s="10"/>
      <c r="K298" s="10"/>
      <c r="L298" s="10"/>
      <c r="M298" s="10"/>
      <c r="N298" s="10"/>
      <c r="O298" s="10"/>
      <c r="P298" s="11"/>
      <c r="Q298" s="11"/>
      <c r="R298" s="1"/>
      <c r="S298" s="1"/>
      <c r="T298" s="1"/>
      <c r="U298" s="1"/>
      <c r="V298" s="1"/>
      <c r="W298" s="1"/>
      <c r="X298" s="1"/>
      <c r="Y298" s="1"/>
    </row>
    <row r="299" spans="1:25" ht="16" x14ac:dyDescent="0.2">
      <c r="A299" s="6" t="s">
        <v>694</v>
      </c>
      <c r="B299" s="10"/>
      <c r="C299" s="10"/>
      <c r="D299" s="10"/>
      <c r="E299" s="10"/>
      <c r="F299" s="10"/>
      <c r="G299" s="10"/>
      <c r="H299" s="10"/>
      <c r="I299" s="10"/>
      <c r="J299" s="10"/>
      <c r="K299" s="10"/>
      <c r="L299" s="10"/>
      <c r="M299" s="10"/>
      <c r="N299" s="10"/>
      <c r="O299" s="10"/>
      <c r="P299" s="11"/>
      <c r="Q299" s="11"/>
      <c r="R299" s="1"/>
      <c r="S299" s="1"/>
      <c r="T299" s="1"/>
      <c r="U299" s="1"/>
      <c r="V299" s="1"/>
      <c r="W299" s="1"/>
      <c r="X299" s="1"/>
      <c r="Y299" s="1"/>
    </row>
    <row r="300" spans="1:25" ht="16" x14ac:dyDescent="0.2">
      <c r="A300" s="6"/>
      <c r="B300" s="10"/>
      <c r="C300" s="10"/>
      <c r="D300" s="10"/>
      <c r="E300" s="10"/>
      <c r="F300" s="10"/>
      <c r="G300" s="10"/>
      <c r="H300" s="10"/>
      <c r="I300" s="10"/>
      <c r="J300" s="10"/>
      <c r="K300" s="10"/>
      <c r="L300" s="10"/>
      <c r="M300" s="10"/>
      <c r="N300" s="10"/>
      <c r="O300" s="10"/>
      <c r="P300" s="11"/>
      <c r="Q300" s="11"/>
      <c r="R300" s="1"/>
      <c r="S300" s="1"/>
      <c r="T300" s="1"/>
      <c r="U300" s="1"/>
      <c r="V300" s="1"/>
      <c r="W300" s="1"/>
      <c r="X300" s="1"/>
      <c r="Y300" s="1"/>
    </row>
    <row r="301" spans="1:25" ht="16" x14ac:dyDescent="0.2">
      <c r="A301" s="6" t="s">
        <v>652</v>
      </c>
      <c r="B301" s="10"/>
      <c r="C301" s="10"/>
      <c r="D301" s="10"/>
      <c r="E301" s="10"/>
      <c r="F301" s="10"/>
      <c r="G301" s="10"/>
      <c r="H301" s="10"/>
      <c r="I301" s="10"/>
      <c r="J301" s="10"/>
      <c r="K301" s="10"/>
      <c r="L301" s="10"/>
      <c r="M301" s="10"/>
      <c r="N301" s="10"/>
      <c r="O301" s="10"/>
      <c r="P301" s="11"/>
      <c r="Q301" s="11"/>
      <c r="R301" s="1"/>
      <c r="S301" s="1"/>
      <c r="T301" s="1"/>
      <c r="U301" s="1"/>
      <c r="V301" s="1"/>
      <c r="W301" s="1"/>
      <c r="X301" s="1"/>
      <c r="Y301" s="1"/>
    </row>
    <row r="302" spans="1:25" ht="16" x14ac:dyDescent="0.2">
      <c r="A302" s="6"/>
      <c r="B302" s="10"/>
      <c r="C302" s="10"/>
      <c r="D302" s="10"/>
      <c r="E302" s="10"/>
      <c r="F302" s="10"/>
      <c r="G302" s="10"/>
      <c r="H302" s="10"/>
      <c r="I302" s="10"/>
      <c r="J302" s="10"/>
      <c r="K302" s="10"/>
      <c r="L302" s="10"/>
      <c r="M302" s="10"/>
      <c r="N302" s="10"/>
      <c r="O302" s="10"/>
      <c r="P302" s="11"/>
      <c r="Q302" s="11"/>
      <c r="R302" s="1"/>
      <c r="S302" s="1"/>
      <c r="T302" s="1"/>
      <c r="U302" s="1"/>
      <c r="V302" s="1"/>
      <c r="W302" s="1"/>
      <c r="X302" s="1"/>
      <c r="Y302" s="1"/>
    </row>
    <row r="303" spans="1:25" ht="16" x14ac:dyDescent="0.2">
      <c r="A303" s="6" t="s">
        <v>653</v>
      </c>
      <c r="B303" s="10"/>
      <c r="C303" s="10"/>
      <c r="D303" s="10"/>
      <c r="E303" s="10"/>
      <c r="F303" s="10"/>
      <c r="G303" s="10"/>
      <c r="H303" s="10"/>
      <c r="I303" s="10"/>
      <c r="J303" s="10"/>
      <c r="K303" s="10"/>
      <c r="L303" s="10"/>
      <c r="M303" s="10"/>
      <c r="N303" s="10"/>
      <c r="O303" s="10"/>
      <c r="P303" s="11"/>
      <c r="Q303" s="11"/>
      <c r="R303" s="1"/>
      <c r="S303" s="1"/>
      <c r="T303" s="1"/>
      <c r="U303" s="1"/>
      <c r="V303" s="1"/>
      <c r="W303" s="1"/>
      <c r="X303" s="1"/>
      <c r="Y303" s="1"/>
    </row>
    <row r="304" spans="1:25" ht="16" x14ac:dyDescent="0.2">
      <c r="A304" s="6"/>
      <c r="B304" s="10"/>
      <c r="C304" s="10"/>
      <c r="D304" s="10"/>
      <c r="E304" s="10"/>
      <c r="F304" s="10"/>
      <c r="G304" s="10"/>
      <c r="H304" s="10"/>
      <c r="I304" s="10"/>
      <c r="J304" s="10"/>
      <c r="K304" s="10"/>
      <c r="L304" s="10"/>
      <c r="M304" s="10"/>
      <c r="N304" s="10"/>
      <c r="O304" s="10"/>
      <c r="P304" s="11"/>
      <c r="Q304" s="11"/>
      <c r="R304" s="1"/>
      <c r="S304" s="1"/>
      <c r="T304" s="1"/>
      <c r="U304" s="1"/>
      <c r="V304" s="1"/>
      <c r="W304" s="1"/>
      <c r="X304" s="1"/>
      <c r="Y304" s="1"/>
    </row>
    <row r="305" spans="1:25" ht="16" x14ac:dyDescent="0.2">
      <c r="A305" s="6" t="s">
        <v>654</v>
      </c>
      <c r="B305" s="10"/>
      <c r="C305" s="10"/>
      <c r="D305" s="10"/>
      <c r="E305" s="10"/>
      <c r="F305" s="10"/>
      <c r="G305" s="10"/>
      <c r="H305" s="10"/>
      <c r="I305" s="10"/>
      <c r="J305" s="10"/>
      <c r="K305" s="10"/>
      <c r="L305" s="10"/>
      <c r="M305" s="10"/>
      <c r="N305" s="10"/>
      <c r="O305" s="10"/>
      <c r="P305" s="11"/>
      <c r="Q305" s="11"/>
      <c r="R305" s="1"/>
      <c r="S305" s="1"/>
      <c r="T305" s="1"/>
      <c r="U305" s="1"/>
      <c r="V305" s="1"/>
      <c r="W305" s="1"/>
      <c r="X305" s="1"/>
      <c r="Y305" s="1"/>
    </row>
    <row r="306" spans="1:25" ht="16" x14ac:dyDescent="0.2">
      <c r="A306" s="6"/>
      <c r="B306" s="10"/>
      <c r="C306" s="10"/>
      <c r="D306" s="10"/>
      <c r="E306" s="10"/>
      <c r="F306" s="10"/>
      <c r="G306" s="10"/>
      <c r="H306" s="10"/>
      <c r="I306" s="10"/>
      <c r="J306" s="10"/>
      <c r="K306" s="10"/>
      <c r="L306" s="10"/>
      <c r="M306" s="10"/>
      <c r="N306" s="10"/>
      <c r="O306" s="10"/>
      <c r="P306" s="11"/>
      <c r="Q306" s="11"/>
      <c r="R306" s="1"/>
      <c r="S306" s="1"/>
      <c r="T306" s="1"/>
      <c r="U306" s="1"/>
      <c r="V306" s="1"/>
      <c r="W306" s="1"/>
      <c r="X306" s="1"/>
      <c r="Y306" s="1"/>
    </row>
    <row r="307" spans="1:25" ht="16" x14ac:dyDescent="0.2">
      <c r="A307" s="6" t="s">
        <v>655</v>
      </c>
      <c r="B307" s="10"/>
      <c r="C307" s="10"/>
      <c r="D307" s="10"/>
      <c r="E307" s="10"/>
      <c r="F307" s="10"/>
      <c r="G307" s="10"/>
      <c r="H307" s="10"/>
      <c r="I307" s="10"/>
      <c r="J307" s="10"/>
      <c r="K307" s="10"/>
      <c r="L307" s="10"/>
      <c r="M307" s="10"/>
      <c r="N307" s="10"/>
      <c r="O307" s="10"/>
      <c r="P307" s="11"/>
      <c r="Q307" s="11"/>
      <c r="R307" s="1"/>
      <c r="S307" s="1"/>
      <c r="T307" s="1"/>
      <c r="U307" s="1"/>
      <c r="V307" s="1"/>
      <c r="W307" s="1"/>
      <c r="X307" s="1"/>
      <c r="Y307" s="1"/>
    </row>
    <row r="308" spans="1:25" ht="16" x14ac:dyDescent="0.2">
      <c r="A308" s="6"/>
      <c r="B308" s="10"/>
      <c r="C308" s="10"/>
      <c r="D308" s="10"/>
      <c r="E308" s="10"/>
      <c r="F308" s="10"/>
      <c r="G308" s="10"/>
      <c r="H308" s="10"/>
      <c r="I308" s="10"/>
      <c r="J308" s="10"/>
      <c r="K308" s="10"/>
      <c r="L308" s="10"/>
      <c r="M308" s="10"/>
      <c r="N308" s="10"/>
      <c r="O308" s="10"/>
      <c r="P308" s="11"/>
      <c r="Q308" s="11"/>
      <c r="R308" s="1"/>
      <c r="S308" s="1"/>
      <c r="T308" s="1"/>
      <c r="U308" s="1"/>
      <c r="V308" s="1"/>
      <c r="W308" s="1"/>
      <c r="X308" s="1"/>
      <c r="Y308" s="1"/>
    </row>
    <row r="309" spans="1:25" ht="16" x14ac:dyDescent="0.2">
      <c r="A309" s="6" t="s">
        <v>656</v>
      </c>
      <c r="B309" s="10"/>
      <c r="C309" s="10"/>
      <c r="D309" s="10"/>
      <c r="E309" s="10"/>
      <c r="F309" s="10"/>
      <c r="G309" s="10"/>
      <c r="H309" s="10"/>
      <c r="I309" s="10"/>
      <c r="J309" s="10"/>
      <c r="K309" s="10"/>
      <c r="L309" s="10"/>
      <c r="M309" s="10"/>
      <c r="N309" s="10"/>
      <c r="O309" s="10"/>
      <c r="P309" s="11"/>
      <c r="Q309" s="11"/>
      <c r="R309" s="1"/>
      <c r="S309" s="1"/>
      <c r="T309" s="1"/>
      <c r="U309" s="1"/>
      <c r="V309" s="1"/>
      <c r="W309" s="1"/>
      <c r="X309" s="1"/>
      <c r="Y309" s="1"/>
    </row>
    <row r="310" spans="1:25" x14ac:dyDescent="0.15">
      <c r="A310"/>
      <c r="B310" s="10"/>
      <c r="C310" s="10"/>
      <c r="D310" s="10"/>
      <c r="E310" s="10"/>
      <c r="F310" s="10"/>
      <c r="G310" s="10"/>
      <c r="H310" s="10"/>
      <c r="I310" s="10"/>
      <c r="J310" s="10"/>
      <c r="K310" s="10"/>
      <c r="L310" s="10"/>
      <c r="M310" s="10"/>
      <c r="N310" s="10"/>
      <c r="O310" s="10"/>
      <c r="P310" s="11"/>
      <c r="Q310" s="11"/>
      <c r="R310" s="1"/>
      <c r="S310" s="1"/>
      <c r="T310" s="1"/>
      <c r="U310" s="1"/>
      <c r="V310" s="1"/>
      <c r="W310" s="1"/>
      <c r="X310" s="1"/>
      <c r="Y310" s="1"/>
    </row>
    <row r="311" spans="1:25" x14ac:dyDescent="0.15">
      <c r="A311" s="7" t="s">
        <v>657</v>
      </c>
      <c r="B311" s="10"/>
      <c r="C311" s="10"/>
      <c r="D311" s="10"/>
      <c r="E311" s="10"/>
      <c r="F311" s="10"/>
      <c r="G311" s="10"/>
      <c r="H311" s="10"/>
      <c r="I311" s="10"/>
      <c r="J311" s="10"/>
      <c r="K311" s="10"/>
      <c r="L311" s="10"/>
      <c r="M311" s="10"/>
      <c r="N311" s="10"/>
      <c r="O311" s="10"/>
      <c r="P311" s="11"/>
      <c r="Q311" s="11"/>
      <c r="R311" s="1"/>
      <c r="S311" s="1"/>
      <c r="T311" s="1"/>
      <c r="U311" s="1"/>
      <c r="V311" s="1"/>
      <c r="W311" s="1"/>
      <c r="X311" s="1"/>
      <c r="Y311" s="1"/>
    </row>
    <row r="312" spans="1:25" x14ac:dyDescent="0.15">
      <c r="A312" s="10"/>
      <c r="B312" s="10"/>
      <c r="C312" s="10"/>
      <c r="D312" s="10"/>
      <c r="E312" s="10"/>
      <c r="F312" s="10"/>
      <c r="G312" s="10"/>
      <c r="H312" s="10"/>
      <c r="I312" s="10"/>
      <c r="J312" s="10"/>
      <c r="K312" s="10"/>
      <c r="L312" s="10"/>
      <c r="M312" s="10"/>
      <c r="N312" s="10"/>
      <c r="O312" s="10"/>
      <c r="P312" s="11"/>
      <c r="Q312" s="11"/>
      <c r="R312" s="1"/>
      <c r="S312" s="1"/>
      <c r="T312" s="1"/>
      <c r="U312" s="1"/>
      <c r="V312" s="1"/>
      <c r="W312" s="1"/>
      <c r="X312" s="1"/>
      <c r="Y312" s="1"/>
    </row>
    <row r="313" spans="1:25" x14ac:dyDescent="0.15">
      <c r="A313" s="10"/>
      <c r="B313" s="10"/>
      <c r="C313" s="10"/>
      <c r="D313" s="10"/>
      <c r="E313" s="10"/>
      <c r="F313" s="10"/>
      <c r="G313" s="10"/>
      <c r="H313" s="10"/>
      <c r="I313" s="10"/>
      <c r="J313" s="10"/>
      <c r="K313" s="10"/>
      <c r="L313" s="10"/>
      <c r="M313" s="10"/>
      <c r="N313" s="10"/>
      <c r="O313" s="10"/>
      <c r="P313" s="11"/>
      <c r="Q313" s="11"/>
      <c r="R313" s="1"/>
      <c r="S313" s="1"/>
      <c r="T313" s="1"/>
      <c r="U313" s="1"/>
      <c r="V313" s="1"/>
      <c r="W313" s="1"/>
      <c r="X313" s="1"/>
      <c r="Y313" s="1"/>
    </row>
    <row r="314" spans="1:25" x14ac:dyDescent="0.15">
      <c r="A314" s="10"/>
      <c r="B314" s="10"/>
      <c r="C314" s="10"/>
      <c r="D314" s="10"/>
      <c r="E314" s="10"/>
      <c r="F314" s="10"/>
      <c r="G314" s="10"/>
      <c r="H314" s="10"/>
      <c r="I314" s="10"/>
      <c r="J314" s="10"/>
      <c r="K314" s="10"/>
      <c r="L314" s="10"/>
      <c r="M314" s="10"/>
      <c r="N314" s="10"/>
      <c r="O314" s="10"/>
      <c r="P314" s="11"/>
      <c r="Q314" s="11"/>
      <c r="R314" s="1"/>
      <c r="S314" s="1"/>
      <c r="T314" s="1"/>
      <c r="U314" s="1"/>
      <c r="V314" s="1"/>
      <c r="W314" s="1"/>
      <c r="X314" s="1"/>
      <c r="Y314" s="1"/>
    </row>
    <row r="315" spans="1:25" x14ac:dyDescent="0.15">
      <c r="A315" s="10"/>
      <c r="B315" s="10"/>
      <c r="C315" s="10"/>
      <c r="D315" s="10"/>
      <c r="E315" s="10"/>
      <c r="F315" s="10"/>
      <c r="G315" s="10"/>
      <c r="H315" s="10"/>
      <c r="I315" s="10"/>
      <c r="J315" s="10"/>
      <c r="K315" s="10"/>
      <c r="L315" s="10"/>
      <c r="M315" s="10"/>
      <c r="N315" s="10"/>
      <c r="O315" s="10"/>
      <c r="P315" s="11"/>
      <c r="Q315" s="11"/>
      <c r="R315" s="1"/>
      <c r="S315" s="1"/>
      <c r="T315" s="1"/>
      <c r="U315" s="1"/>
      <c r="V315" s="1"/>
      <c r="W315" s="1"/>
      <c r="X315" s="1"/>
      <c r="Y315" s="1"/>
    </row>
    <row r="316" spans="1:25" x14ac:dyDescent="0.15">
      <c r="A316" s="10"/>
      <c r="B316" s="10"/>
      <c r="C316" s="10"/>
      <c r="D316" s="10"/>
      <c r="E316" s="10"/>
      <c r="F316" s="10"/>
      <c r="G316" s="10"/>
      <c r="H316" s="10"/>
      <c r="I316" s="10"/>
      <c r="J316" s="10"/>
      <c r="K316" s="10"/>
      <c r="L316" s="10"/>
      <c r="M316" s="10"/>
      <c r="N316" s="10"/>
      <c r="O316" s="10"/>
      <c r="P316" s="11"/>
      <c r="Q316" s="11"/>
      <c r="R316" s="1"/>
      <c r="S316" s="1"/>
      <c r="T316" s="1"/>
      <c r="U316" s="1"/>
      <c r="V316" s="1"/>
      <c r="W316" s="1"/>
      <c r="X316" s="1"/>
      <c r="Y316" s="1"/>
    </row>
    <row r="317" spans="1:25" x14ac:dyDescent="0.15">
      <c r="A317" s="10"/>
      <c r="B317" s="10"/>
      <c r="C317" s="10"/>
      <c r="D317" s="10"/>
      <c r="E317" s="10"/>
      <c r="F317" s="10"/>
      <c r="G317" s="10"/>
      <c r="H317" s="10"/>
      <c r="I317" s="10"/>
      <c r="J317" s="10"/>
      <c r="K317" s="10"/>
      <c r="L317" s="10"/>
      <c r="M317" s="10"/>
      <c r="N317" s="10"/>
      <c r="O317" s="10"/>
      <c r="P317" s="11"/>
      <c r="Q317" s="11"/>
      <c r="R317" s="1"/>
      <c r="S317" s="1"/>
      <c r="T317" s="1"/>
      <c r="U317" s="1"/>
      <c r="V317" s="1"/>
      <c r="W317" s="1"/>
      <c r="X317" s="1"/>
      <c r="Y317" s="1"/>
    </row>
    <row r="318" spans="1:25" x14ac:dyDescent="0.15">
      <c r="A318" s="10"/>
      <c r="B318" s="10"/>
      <c r="C318" s="10"/>
      <c r="D318" s="10"/>
      <c r="E318" s="10"/>
      <c r="F318" s="10"/>
      <c r="G318" s="10"/>
      <c r="H318" s="10"/>
      <c r="I318" s="10"/>
      <c r="J318" s="10"/>
      <c r="K318" s="10"/>
      <c r="L318" s="10"/>
      <c r="M318" s="10"/>
      <c r="N318" s="10"/>
      <c r="O318" s="10"/>
      <c r="P318" s="11"/>
      <c r="Q318" s="11"/>
      <c r="R318" s="1"/>
      <c r="S318" s="1"/>
      <c r="T318" s="1"/>
      <c r="U318" s="1"/>
      <c r="V318" s="1"/>
      <c r="W318" s="1"/>
      <c r="X318" s="1"/>
      <c r="Y318" s="1"/>
    </row>
    <row r="319" spans="1:25" x14ac:dyDescent="0.15">
      <c r="A319" s="10"/>
      <c r="B319" s="10"/>
      <c r="C319" s="10"/>
      <c r="D319" s="10"/>
      <c r="E319" s="10"/>
      <c r="F319" s="10"/>
      <c r="G319" s="10"/>
      <c r="H319" s="10"/>
      <c r="I319" s="10"/>
      <c r="J319" s="10"/>
      <c r="K319" s="10"/>
      <c r="L319" s="10"/>
      <c r="M319" s="10"/>
      <c r="N319" s="10"/>
      <c r="O319" s="10"/>
      <c r="P319" s="11"/>
      <c r="Q319" s="11"/>
      <c r="R319" s="1"/>
      <c r="S319" s="1"/>
      <c r="T319" s="1"/>
      <c r="U319" s="1"/>
      <c r="V319" s="1"/>
      <c r="W319" s="1"/>
      <c r="X319" s="1"/>
      <c r="Y319" s="1"/>
    </row>
    <row r="320" spans="1:25" x14ac:dyDescent="0.15">
      <c r="A320" s="10"/>
      <c r="B320" s="10"/>
      <c r="C320" s="10"/>
      <c r="D320" s="10"/>
      <c r="E320" s="10"/>
      <c r="F320" s="10"/>
      <c r="G320" s="10"/>
      <c r="H320" s="10"/>
      <c r="I320" s="10"/>
      <c r="J320" s="10"/>
      <c r="K320" s="10"/>
      <c r="L320" s="10"/>
      <c r="M320" s="10"/>
      <c r="N320" s="10"/>
      <c r="O320" s="10"/>
      <c r="P320" s="11"/>
      <c r="Q320" s="11"/>
      <c r="R320" s="1"/>
      <c r="S320" s="1"/>
      <c r="T320" s="1"/>
      <c r="U320" s="1"/>
      <c r="V320" s="1"/>
      <c r="W320" s="1"/>
      <c r="X320" s="1"/>
      <c r="Y320" s="1"/>
    </row>
    <row r="321" spans="1:25" x14ac:dyDescent="0.15">
      <c r="A321" s="10"/>
      <c r="B321" s="10"/>
      <c r="C321" s="10"/>
      <c r="D321" s="10"/>
      <c r="E321" s="10"/>
      <c r="F321" s="10"/>
      <c r="G321" s="10"/>
      <c r="H321" s="10"/>
      <c r="I321" s="10"/>
      <c r="J321" s="10"/>
      <c r="K321" s="10"/>
      <c r="L321" s="10"/>
      <c r="M321" s="10"/>
      <c r="N321" s="10"/>
      <c r="O321" s="10"/>
      <c r="P321" s="11"/>
      <c r="Q321" s="11"/>
      <c r="R321" s="1"/>
      <c r="S321" s="1"/>
      <c r="T321" s="1"/>
      <c r="U321" s="1"/>
      <c r="V321" s="1"/>
      <c r="W321" s="1"/>
      <c r="X321" s="1"/>
      <c r="Y321" s="1"/>
    </row>
    <row r="322" spans="1:25" x14ac:dyDescent="0.15">
      <c r="A322" s="10"/>
      <c r="B322" s="10"/>
      <c r="C322" s="10"/>
      <c r="D322" s="10"/>
      <c r="E322" s="10"/>
      <c r="F322" s="10"/>
      <c r="G322" s="10"/>
      <c r="H322" s="10"/>
      <c r="I322" s="10"/>
      <c r="J322" s="10"/>
      <c r="K322" s="10"/>
      <c r="L322" s="10"/>
      <c r="M322" s="10"/>
      <c r="N322" s="10"/>
      <c r="O322" s="10"/>
      <c r="P322" s="11"/>
      <c r="Q322" s="11"/>
      <c r="R322" s="1"/>
      <c r="S322" s="1"/>
      <c r="T322" s="1"/>
      <c r="U322" s="1"/>
      <c r="V322" s="1"/>
      <c r="W322" s="1"/>
      <c r="X322" s="1"/>
      <c r="Y322" s="1"/>
    </row>
    <row r="323" spans="1:25" x14ac:dyDescent="0.15">
      <c r="A323" s="10"/>
      <c r="B323" s="10"/>
      <c r="C323" s="10"/>
      <c r="D323" s="10"/>
      <c r="E323" s="10"/>
      <c r="F323" s="10"/>
      <c r="G323" s="10"/>
      <c r="H323" s="10"/>
      <c r="I323" s="10"/>
      <c r="J323" s="10"/>
      <c r="K323" s="10"/>
      <c r="L323" s="10"/>
      <c r="M323" s="10"/>
      <c r="N323" s="10"/>
      <c r="O323" s="10"/>
      <c r="P323" s="11"/>
      <c r="Q323" s="11"/>
      <c r="R323" s="1"/>
      <c r="S323" s="1"/>
      <c r="T323" s="1"/>
      <c r="U323" s="1"/>
      <c r="V323" s="1"/>
      <c r="W323" s="1"/>
      <c r="X323" s="1"/>
      <c r="Y323" s="1"/>
    </row>
    <row r="324" spans="1:25" x14ac:dyDescent="0.15">
      <c r="A324" s="10"/>
      <c r="B324" s="10"/>
      <c r="C324" s="10"/>
      <c r="D324" s="10"/>
      <c r="E324" s="10"/>
      <c r="F324" s="10"/>
      <c r="G324" s="10"/>
      <c r="H324" s="10"/>
      <c r="I324" s="10"/>
      <c r="J324" s="10"/>
      <c r="K324" s="10"/>
      <c r="L324" s="10"/>
      <c r="M324" s="10"/>
      <c r="N324" s="10"/>
      <c r="O324" s="10"/>
      <c r="P324" s="11"/>
      <c r="Q324" s="11"/>
      <c r="R324" s="1"/>
      <c r="S324" s="1"/>
      <c r="T324" s="1"/>
      <c r="U324" s="1"/>
      <c r="V324" s="1"/>
      <c r="W324" s="1"/>
      <c r="X324" s="1"/>
      <c r="Y324" s="1"/>
    </row>
    <row r="325" spans="1:25" x14ac:dyDescent="0.15">
      <c r="A325" s="10"/>
      <c r="B325" s="10"/>
      <c r="C325" s="10"/>
      <c r="D325" s="10"/>
      <c r="E325" s="10"/>
      <c r="F325" s="10"/>
      <c r="G325" s="10"/>
      <c r="H325" s="10"/>
      <c r="I325" s="10"/>
      <c r="J325" s="10"/>
      <c r="K325" s="10"/>
      <c r="L325" s="10"/>
      <c r="M325" s="10"/>
      <c r="N325" s="10"/>
      <c r="O325" s="10"/>
      <c r="P325" s="11"/>
      <c r="Q325" s="11"/>
      <c r="R325" s="1"/>
      <c r="S325" s="1"/>
      <c r="T325" s="1"/>
      <c r="U325" s="1"/>
      <c r="V325" s="1"/>
      <c r="W325" s="1"/>
      <c r="X325" s="1"/>
      <c r="Y325" s="1"/>
    </row>
    <row r="326" spans="1:25" x14ac:dyDescent="0.15">
      <c r="A326" s="10"/>
      <c r="B326" s="10"/>
      <c r="C326" s="10"/>
      <c r="D326" s="10"/>
      <c r="E326" s="10"/>
      <c r="F326" s="10"/>
      <c r="G326" s="10"/>
      <c r="H326" s="10"/>
      <c r="I326" s="10"/>
      <c r="J326" s="10"/>
      <c r="K326" s="10"/>
      <c r="L326" s="10"/>
      <c r="M326" s="10"/>
      <c r="N326" s="10"/>
      <c r="O326" s="10"/>
      <c r="P326" s="11"/>
      <c r="Q326" s="11"/>
      <c r="R326" s="1"/>
      <c r="S326" s="1"/>
      <c r="T326" s="1"/>
      <c r="U326" s="1"/>
      <c r="V326" s="1"/>
      <c r="W326" s="1"/>
      <c r="X326" s="1"/>
      <c r="Y326" s="1"/>
    </row>
    <row r="327" spans="1:25" x14ac:dyDescent="0.15">
      <c r="A327" s="10"/>
      <c r="B327" s="10"/>
      <c r="C327" s="10"/>
      <c r="D327" s="10"/>
      <c r="E327" s="10"/>
      <c r="F327" s="10"/>
      <c r="G327" s="10"/>
      <c r="H327" s="10"/>
      <c r="I327" s="10"/>
      <c r="J327" s="10"/>
      <c r="K327" s="10"/>
      <c r="L327" s="10"/>
      <c r="M327" s="10"/>
      <c r="N327" s="10"/>
      <c r="O327" s="10"/>
      <c r="P327" s="11"/>
      <c r="Q327" s="11"/>
      <c r="R327" s="1"/>
      <c r="S327" s="1"/>
      <c r="T327" s="1"/>
      <c r="U327" s="1"/>
      <c r="V327" s="1"/>
      <c r="W327" s="1"/>
      <c r="X327" s="1"/>
      <c r="Y327" s="1"/>
    </row>
    <row r="328" spans="1:25" x14ac:dyDescent="0.15">
      <c r="A328" s="10"/>
      <c r="B328" s="10"/>
      <c r="C328" s="10"/>
      <c r="D328" s="10"/>
      <c r="E328" s="10"/>
      <c r="F328" s="10"/>
      <c r="G328" s="10"/>
      <c r="H328" s="10"/>
      <c r="I328" s="10"/>
      <c r="J328" s="10"/>
      <c r="K328" s="10"/>
      <c r="L328" s="10"/>
      <c r="M328" s="10"/>
      <c r="N328" s="10"/>
      <c r="O328" s="10"/>
      <c r="P328" s="11"/>
      <c r="Q328" s="11"/>
      <c r="R328" s="1"/>
      <c r="S328" s="1"/>
      <c r="T328" s="1"/>
      <c r="U328" s="1"/>
      <c r="V328" s="1"/>
      <c r="W328" s="1"/>
      <c r="X328" s="1"/>
      <c r="Y328" s="1"/>
    </row>
    <row r="329" spans="1:25" x14ac:dyDescent="0.15">
      <c r="A329" s="10"/>
      <c r="B329" s="10"/>
      <c r="C329" s="10"/>
      <c r="D329" s="10"/>
      <c r="E329" s="10"/>
      <c r="F329" s="10"/>
      <c r="G329" s="10"/>
      <c r="H329" s="10"/>
      <c r="I329" s="10"/>
      <c r="J329" s="10"/>
      <c r="K329" s="10"/>
      <c r="L329" s="10"/>
      <c r="M329" s="10"/>
      <c r="N329" s="10"/>
      <c r="O329" s="10"/>
      <c r="P329" s="11"/>
      <c r="Q329" s="11"/>
      <c r="R329" s="1"/>
      <c r="S329" s="1"/>
      <c r="T329" s="1"/>
      <c r="U329" s="1"/>
      <c r="V329" s="1"/>
      <c r="W329" s="1"/>
      <c r="X329" s="1"/>
      <c r="Y329" s="1"/>
    </row>
  </sheetData>
  <autoFilter ref="A2:Q127" xr:uid="{00000000-0009-0000-0000-000000000000}">
    <sortState xmlns:xlrd2="http://schemas.microsoft.com/office/spreadsheetml/2017/richdata2" ref="A3:Q127">
      <sortCondition ref="A2:A127"/>
    </sortState>
  </autoFilter>
  <customSheetViews>
    <customSheetView guid="{B6B13DC5-3F2E-4CEE-B451-DF3517F484F6}" filter="1" showAutoFilter="1">
      <pageMargins left="0.7" right="0.7" top="0.75" bottom="0.75" header="0.3" footer="0.3"/>
      <autoFilter ref="A2:X94" xr:uid="{105FB207-CFFC-E246-BAEA-23934ABCF9E8}">
        <sortState xmlns:xlrd2="http://schemas.microsoft.com/office/spreadsheetml/2017/richdata2" ref="A2:X94">
          <sortCondition ref="I2:I94"/>
        </sortState>
      </autoFilter>
      <extLst>
        <ext uri="GoogleSheetsCustomDataVersion1">
          <go:sheetsCustomData xmlns:go="http://customooxmlschemas.google.com/" filterViewId="918760511"/>
        </ext>
      </extLst>
    </customSheetView>
  </customSheetViews>
  <mergeCells count="1">
    <mergeCell ref="A1:Q1"/>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Table S1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Glenn Sharman</cp:lastModifiedBy>
  <dcterms:created xsi:type="dcterms:W3CDTF">2023-06-26T15:31:38Z</dcterms:created>
  <dcterms:modified xsi:type="dcterms:W3CDTF">2023-06-26T15:31:38Z</dcterms:modified>
</cp:coreProperties>
</file>